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Ana\Dokumenti\FIN. PLANOVI I BILJEŠKE\PLAN 2023\"/>
    </mc:Choice>
  </mc:AlternateContent>
  <bookViews>
    <workbookView xWindow="0" yWindow="0" windowWidth="28800" windowHeight="12300" activeTab="4"/>
  </bookViews>
  <sheets>
    <sheet name="SAŽETAK-EUR" sheetId="9" r:id="rId1"/>
    <sheet name=" Račun prihoda i rashoda" sheetId="11" r:id="rId2"/>
    <sheet name="Rashodi prema funkcijskoj kl" sheetId="5" r:id="rId3"/>
    <sheet name="Račun financiranja" sheetId="6" r:id="rId4"/>
    <sheet name="POSEBNI DIO EUR" sheetId="10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9" l="1"/>
  <c r="L8" i="9" s="1"/>
  <c r="L10" i="9"/>
  <c r="L12" i="9"/>
  <c r="L11" i="9" s="1"/>
  <c r="L13" i="9"/>
  <c r="K11" i="9"/>
  <c r="K8" i="9"/>
  <c r="K13" i="9"/>
  <c r="K12" i="9"/>
  <c r="K10" i="9"/>
  <c r="K9" i="9"/>
  <c r="J12" i="9"/>
  <c r="J11" i="9" s="1"/>
  <c r="J13" i="9"/>
  <c r="J14" i="9"/>
  <c r="I21" i="11"/>
  <c r="J10" i="9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37" i="11"/>
  <c r="H12" i="11"/>
  <c r="H13" i="11"/>
  <c r="H14" i="11"/>
  <c r="H15" i="11"/>
  <c r="H16" i="11"/>
  <c r="H17" i="11"/>
  <c r="H18" i="11"/>
  <c r="H19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I15" i="11"/>
  <c r="I13" i="11"/>
  <c r="I14" i="11"/>
  <c r="I31" i="11"/>
  <c r="I12" i="11" l="1"/>
  <c r="I11" i="11" s="1"/>
  <c r="K20" i="11"/>
  <c r="J20" i="11"/>
  <c r="K22" i="11"/>
  <c r="J22" i="11"/>
  <c r="J11" i="11" s="1"/>
  <c r="J27" i="11"/>
  <c r="K27" i="11"/>
  <c r="J26" i="11"/>
  <c r="K26" i="11"/>
  <c r="I22" i="11"/>
  <c r="I20" i="11"/>
  <c r="H20" i="11" s="1"/>
  <c r="J29" i="11"/>
  <c r="K29" i="11"/>
  <c r="I29" i="11"/>
  <c r="I27" i="11"/>
  <c r="I26" i="11"/>
  <c r="J25" i="11"/>
  <c r="I23" i="11"/>
  <c r="J12" i="11"/>
  <c r="K12" i="11"/>
  <c r="K15" i="11"/>
  <c r="J15" i="11"/>
  <c r="K59" i="11"/>
  <c r="J59" i="11"/>
  <c r="O29" i="10"/>
  <c r="P29" i="10"/>
  <c r="P31" i="10"/>
  <c r="O31" i="10"/>
  <c r="J49" i="11"/>
  <c r="K49" i="11"/>
  <c r="J48" i="11"/>
  <c r="J40" i="11"/>
  <c r="K54" i="11"/>
  <c r="J54" i="11"/>
  <c r="J51" i="11"/>
  <c r="J69" i="11"/>
  <c r="K69" i="11"/>
  <c r="J71" i="11"/>
  <c r="K71" i="11"/>
  <c r="J50" i="11"/>
  <c r="K50" i="11"/>
  <c r="J43" i="11"/>
  <c r="K43" i="11"/>
  <c r="J44" i="11"/>
  <c r="K44" i="11"/>
  <c r="J41" i="11"/>
  <c r="K41" i="11"/>
  <c r="K40" i="11"/>
  <c r="I64" i="11"/>
  <c r="I59" i="11" s="1"/>
  <c r="I71" i="11"/>
  <c r="I70" i="11"/>
  <c r="I69" i="11"/>
  <c r="I68" i="11" s="1"/>
  <c r="I65" i="11" s="1"/>
  <c r="I49" i="11"/>
  <c r="I10" i="11" l="1"/>
  <c r="H10" i="11" s="1"/>
  <c r="J9" i="9"/>
  <c r="H11" i="11"/>
  <c r="I25" i="11"/>
  <c r="K39" i="11"/>
  <c r="J39" i="11"/>
  <c r="J47" i="11"/>
  <c r="I58" i="11"/>
  <c r="I55" i="11"/>
  <c r="I54" i="11"/>
  <c r="I53" i="11"/>
  <c r="I51" i="11"/>
  <c r="I50" i="11"/>
  <c r="I48" i="11"/>
  <c r="I47" i="11" s="1"/>
  <c r="I45" i="11"/>
  <c r="I44" i="11"/>
  <c r="I43" i="11"/>
  <c r="I42" i="11"/>
  <c r="I41" i="11"/>
  <c r="I40" i="11"/>
  <c r="E13" i="5"/>
  <c r="E14" i="5"/>
  <c r="E15" i="5"/>
  <c r="E12" i="5"/>
  <c r="J8" i="9" l="1"/>
  <c r="J38" i="11"/>
  <c r="I39" i="11"/>
  <c r="J136" i="10"/>
  <c r="K129" i="10"/>
  <c r="O13" i="10"/>
  <c r="P13" i="10"/>
  <c r="O17" i="10"/>
  <c r="P17" i="10"/>
  <c r="M18" i="10"/>
  <c r="M26" i="10"/>
  <c r="M27" i="10"/>
  <c r="M28" i="10"/>
  <c r="M39" i="10"/>
  <c r="M43" i="10"/>
  <c r="M48" i="10"/>
  <c r="M57" i="10"/>
  <c r="M63" i="10"/>
  <c r="M73" i="10"/>
  <c r="M77" i="10"/>
  <c r="M83" i="10"/>
  <c r="M87" i="10"/>
  <c r="M92" i="10"/>
  <c r="M97" i="10"/>
  <c r="M100" i="10"/>
  <c r="M103" i="10"/>
  <c r="M105" i="10"/>
  <c r="M108" i="10"/>
  <c r="M111" i="10"/>
  <c r="M114" i="10"/>
  <c r="M115" i="10"/>
  <c r="M116" i="10"/>
  <c r="M117" i="10"/>
  <c r="M120" i="10"/>
  <c r="M123" i="10"/>
  <c r="M126" i="10"/>
  <c r="L125" i="10"/>
  <c r="M125" i="10" s="1"/>
  <c r="K125" i="10"/>
  <c r="J125" i="10"/>
  <c r="I116" i="10"/>
  <c r="H116" i="10"/>
  <c r="G116" i="10"/>
  <c r="F116" i="10"/>
  <c r="E116" i="10"/>
  <c r="P89" i="10"/>
  <c r="O89" i="10"/>
  <c r="L89" i="10"/>
  <c r="M89" i="10" s="1"/>
  <c r="K89" i="10"/>
  <c r="J89" i="10"/>
  <c r="P88" i="10"/>
  <c r="O88" i="10"/>
  <c r="L88" i="10"/>
  <c r="M88" i="10" s="1"/>
  <c r="K88" i="10"/>
  <c r="E88" i="10"/>
  <c r="J88" i="10" s="1"/>
  <c r="I86" i="10"/>
  <c r="P86" i="10" s="1"/>
  <c r="H86" i="10"/>
  <c r="O86" i="10" s="1"/>
  <c r="G86" i="10"/>
  <c r="L86" i="10" s="1"/>
  <c r="M86" i="10" s="1"/>
  <c r="F86" i="10"/>
  <c r="K86" i="10" s="1"/>
  <c r="N51" i="10"/>
  <c r="N50" i="10"/>
  <c r="N46" i="10"/>
  <c r="N45" i="10"/>
  <c r="I38" i="11" l="1"/>
  <c r="I37" i="11" s="1"/>
  <c r="E86" i="10"/>
  <c r="J86" i="10" s="1"/>
  <c r="N17" i="10"/>
  <c r="N13" i="10"/>
  <c r="J25" i="10" l="1"/>
  <c r="K25" i="10"/>
  <c r="L25" i="10"/>
  <c r="M25" i="10" s="1"/>
  <c r="G29" i="10"/>
  <c r="H29" i="10"/>
  <c r="H27" i="10" s="1"/>
  <c r="I29" i="10"/>
  <c r="I27" i="10" s="1"/>
  <c r="E31" i="10"/>
  <c r="E29" i="10" s="1"/>
  <c r="F31" i="10"/>
  <c r="F29" i="10" s="1"/>
  <c r="G31" i="10"/>
  <c r="H31" i="10"/>
  <c r="I31" i="10"/>
  <c r="L31" i="10"/>
  <c r="M31" i="10" s="1"/>
  <c r="F27" i="10" l="1"/>
  <c r="K29" i="10"/>
  <c r="E27" i="10"/>
  <c r="J29" i="10"/>
  <c r="K31" i="10"/>
  <c r="J31" i="10"/>
  <c r="L29" i="10"/>
  <c r="M29" i="10" s="1"/>
  <c r="G27" i="10"/>
  <c r="J10" i="11"/>
  <c r="K30" i="11"/>
  <c r="K25" i="11"/>
  <c r="G25" i="11"/>
  <c r="G12" i="11"/>
  <c r="G30" i="9"/>
  <c r="G30" i="11"/>
  <c r="F30" i="11"/>
  <c r="E30" i="11"/>
  <c r="E12" i="11"/>
  <c r="G39" i="11"/>
  <c r="F59" i="11"/>
  <c r="F39" i="11"/>
  <c r="K11" i="11" l="1"/>
  <c r="K10" i="11" s="1"/>
  <c r="E68" i="11"/>
  <c r="K68" i="11"/>
  <c r="J68" i="11"/>
  <c r="G68" i="11"/>
  <c r="F68" i="11"/>
  <c r="E65" i="11"/>
  <c r="F12" i="11"/>
  <c r="E18" i="11"/>
  <c r="F18" i="11"/>
  <c r="G18" i="11"/>
  <c r="G11" i="11" s="1"/>
  <c r="E20" i="11"/>
  <c r="F20" i="11"/>
  <c r="G20" i="11"/>
  <c r="E22" i="11"/>
  <c r="F22" i="11"/>
  <c r="G22" i="11"/>
  <c r="F25" i="11"/>
  <c r="F66" i="11"/>
  <c r="G66" i="11"/>
  <c r="J66" i="11"/>
  <c r="K66" i="11"/>
  <c r="J65" i="11" l="1"/>
  <c r="J37" i="11" s="1"/>
  <c r="G65" i="11"/>
  <c r="F65" i="11"/>
  <c r="K65" i="11"/>
  <c r="F11" i="11"/>
  <c r="F10" i="11" s="1"/>
  <c r="G10" i="11" l="1"/>
  <c r="E10" i="10" l="1"/>
  <c r="E8" i="10" s="1"/>
  <c r="F10" i="10"/>
  <c r="F8" i="10" s="1"/>
  <c r="G10" i="10"/>
  <c r="G8" i="10" s="1"/>
  <c r="H10" i="10"/>
  <c r="H8" i="10" s="1"/>
  <c r="I10" i="10"/>
  <c r="I8" i="10" s="1"/>
  <c r="K10" i="10"/>
  <c r="L10" i="10"/>
  <c r="M10" i="10" s="1"/>
  <c r="J11" i="10"/>
  <c r="K11" i="10"/>
  <c r="L11" i="10"/>
  <c r="J12" i="10"/>
  <c r="E62" i="11" s="1"/>
  <c r="K12" i="10"/>
  <c r="L12" i="10"/>
  <c r="M12" i="10" s="1"/>
  <c r="E15" i="10"/>
  <c r="E13" i="10" s="1"/>
  <c r="J13" i="10" s="1"/>
  <c r="F15" i="10"/>
  <c r="F13" i="10" s="1"/>
  <c r="K13" i="10" s="1"/>
  <c r="G15" i="10"/>
  <c r="L15" i="10" s="1"/>
  <c r="M15" i="10" s="1"/>
  <c r="H15" i="10"/>
  <c r="H13" i="10" s="1"/>
  <c r="I15" i="10"/>
  <c r="I13" i="10" s="1"/>
  <c r="J16" i="10"/>
  <c r="K16" i="10"/>
  <c r="L16" i="10"/>
  <c r="M16" i="10" s="1"/>
  <c r="E19" i="10"/>
  <c r="E17" i="10" s="1"/>
  <c r="J17" i="10" s="1"/>
  <c r="F19" i="10"/>
  <c r="K19" i="10" s="1"/>
  <c r="G19" i="10"/>
  <c r="L19" i="10" s="1"/>
  <c r="M19" i="10" s="1"/>
  <c r="H19" i="10"/>
  <c r="I19" i="10"/>
  <c r="J20" i="10"/>
  <c r="K20" i="10"/>
  <c r="L20" i="10"/>
  <c r="J21" i="10"/>
  <c r="K21" i="10"/>
  <c r="L21" i="10"/>
  <c r="M21" i="10" s="1"/>
  <c r="E23" i="10"/>
  <c r="J23" i="10" s="1"/>
  <c r="F23" i="10"/>
  <c r="G23" i="10"/>
  <c r="L23" i="10" s="1"/>
  <c r="M23" i="10" s="1"/>
  <c r="H23" i="10"/>
  <c r="I23" i="10"/>
  <c r="J24" i="10"/>
  <c r="E50" i="11" s="1"/>
  <c r="K24" i="10"/>
  <c r="F50" i="11" s="1"/>
  <c r="L24" i="10"/>
  <c r="M24" i="10" s="1"/>
  <c r="J32" i="10"/>
  <c r="E44" i="11" s="1"/>
  <c r="K32" i="10"/>
  <c r="L32" i="10"/>
  <c r="M32" i="10" s="1"/>
  <c r="J33" i="10"/>
  <c r="K33" i="10"/>
  <c r="L33" i="10"/>
  <c r="M33" i="10" s="1"/>
  <c r="J34" i="10"/>
  <c r="E64" i="11" s="1"/>
  <c r="K34" i="10"/>
  <c r="L34" i="10"/>
  <c r="M34" i="10" s="1"/>
  <c r="E35" i="10"/>
  <c r="J35" i="10" s="1"/>
  <c r="K35" i="10"/>
  <c r="L35" i="10"/>
  <c r="M35" i="10" s="1"/>
  <c r="J36" i="10"/>
  <c r="K36" i="10"/>
  <c r="L36" i="10"/>
  <c r="M36" i="10" s="1"/>
  <c r="E40" i="10"/>
  <c r="E38" i="10" s="1"/>
  <c r="J38" i="10" s="1"/>
  <c r="F40" i="10"/>
  <c r="F38" i="10" s="1"/>
  <c r="G40" i="10"/>
  <c r="L40" i="10" s="1"/>
  <c r="M40" i="10" s="1"/>
  <c r="H40" i="10"/>
  <c r="I40" i="10"/>
  <c r="J41" i="10"/>
  <c r="K41" i="10"/>
  <c r="L41" i="10"/>
  <c r="M41" i="10" s="1"/>
  <c r="E44" i="10"/>
  <c r="E42" i="10" s="1"/>
  <c r="J42" i="10" s="1"/>
  <c r="F44" i="10"/>
  <c r="F42" i="10" s="1"/>
  <c r="K42" i="10" s="1"/>
  <c r="G44" i="10"/>
  <c r="L44" i="10" s="1"/>
  <c r="H44" i="10"/>
  <c r="O44" i="10" s="1"/>
  <c r="I44" i="10"/>
  <c r="J45" i="10"/>
  <c r="K45" i="10"/>
  <c r="L45" i="10"/>
  <c r="M45" i="10" s="1"/>
  <c r="O45" i="10"/>
  <c r="P45" i="10"/>
  <c r="J46" i="10"/>
  <c r="E56" i="11" s="1"/>
  <c r="K46" i="10"/>
  <c r="L46" i="10"/>
  <c r="M46" i="10" s="1"/>
  <c r="O46" i="10"/>
  <c r="P46" i="10"/>
  <c r="E49" i="10"/>
  <c r="J49" i="10" s="1"/>
  <c r="F49" i="10"/>
  <c r="F47" i="10" s="1"/>
  <c r="K47" i="10" s="1"/>
  <c r="G49" i="10"/>
  <c r="G47" i="10" s="1"/>
  <c r="L47" i="10" s="1"/>
  <c r="H49" i="10"/>
  <c r="H47" i="10" s="1"/>
  <c r="O47" i="10" s="1"/>
  <c r="I49" i="10"/>
  <c r="L49" i="10"/>
  <c r="O49" i="10"/>
  <c r="P49" i="10"/>
  <c r="J50" i="10"/>
  <c r="K50" i="10"/>
  <c r="L50" i="10"/>
  <c r="M50" i="10" s="1"/>
  <c r="O50" i="10"/>
  <c r="P50" i="10"/>
  <c r="J51" i="10"/>
  <c r="K51" i="10"/>
  <c r="L51" i="10"/>
  <c r="M51" i="10" s="1"/>
  <c r="O51" i="10"/>
  <c r="P51" i="10"/>
  <c r="F52" i="10"/>
  <c r="K52" i="10" s="1"/>
  <c r="G54" i="10"/>
  <c r="G52" i="10" s="1"/>
  <c r="L52" i="10" s="1"/>
  <c r="H54" i="10"/>
  <c r="O54" i="10" s="1"/>
  <c r="I54" i="10"/>
  <c r="I52" i="10" s="1"/>
  <c r="K54" i="10"/>
  <c r="P54" i="10"/>
  <c r="J55" i="10"/>
  <c r="K55" i="10"/>
  <c r="L55" i="10"/>
  <c r="M55" i="10" s="1"/>
  <c r="O55" i="10"/>
  <c r="P55" i="10"/>
  <c r="E58" i="10"/>
  <c r="J58" i="10" s="1"/>
  <c r="F58" i="10"/>
  <c r="F56" i="10" s="1"/>
  <c r="K56" i="10" s="1"/>
  <c r="G58" i="10"/>
  <c r="G56" i="10" s="1"/>
  <c r="L56" i="10" s="1"/>
  <c r="M56" i="10" s="1"/>
  <c r="H58" i="10"/>
  <c r="H56" i="10" s="1"/>
  <c r="I58" i="10"/>
  <c r="I56" i="10" s="1"/>
  <c r="J59" i="10"/>
  <c r="K59" i="10"/>
  <c r="L59" i="10"/>
  <c r="M59" i="10" s="1"/>
  <c r="J60" i="10"/>
  <c r="K60" i="10"/>
  <c r="L60" i="10"/>
  <c r="M60" i="10" s="1"/>
  <c r="J61" i="10"/>
  <c r="K61" i="10"/>
  <c r="L61" i="10"/>
  <c r="M61" i="10" s="1"/>
  <c r="E64" i="10"/>
  <c r="F64" i="10"/>
  <c r="K64" i="10" s="1"/>
  <c r="G64" i="10"/>
  <c r="L64" i="10" s="1"/>
  <c r="M64" i="10" s="1"/>
  <c r="H64" i="10"/>
  <c r="I64" i="10"/>
  <c r="J64" i="10"/>
  <c r="J65" i="10"/>
  <c r="K65" i="10"/>
  <c r="L65" i="10"/>
  <c r="M65" i="10" s="1"/>
  <c r="J66" i="10"/>
  <c r="E53" i="11" s="1"/>
  <c r="K66" i="10"/>
  <c r="F53" i="11" s="1"/>
  <c r="L66" i="10"/>
  <c r="M66" i="10" s="1"/>
  <c r="J67" i="10"/>
  <c r="K67" i="10"/>
  <c r="L67" i="10"/>
  <c r="M67" i="10" s="1"/>
  <c r="O67" i="10"/>
  <c r="P67" i="10"/>
  <c r="E69" i="10"/>
  <c r="J69" i="10" s="1"/>
  <c r="F69" i="10"/>
  <c r="K69" i="10" s="1"/>
  <c r="G69" i="10"/>
  <c r="L69" i="10" s="1"/>
  <c r="M69" i="10" s="1"/>
  <c r="H69" i="10"/>
  <c r="I69" i="10"/>
  <c r="J70" i="10"/>
  <c r="K70" i="10"/>
  <c r="L70" i="10"/>
  <c r="M70" i="10" s="1"/>
  <c r="J71" i="10"/>
  <c r="E55" i="11" s="1"/>
  <c r="K71" i="10"/>
  <c r="F55" i="11" s="1"/>
  <c r="L71" i="10"/>
  <c r="M71" i="10" s="1"/>
  <c r="G72" i="10"/>
  <c r="L72" i="10" s="1"/>
  <c r="M72" i="10" s="1"/>
  <c r="E74" i="10"/>
  <c r="E72" i="10" s="1"/>
  <c r="J72" i="10" s="1"/>
  <c r="F74" i="10"/>
  <c r="K74" i="10" s="1"/>
  <c r="G74" i="10"/>
  <c r="H74" i="10"/>
  <c r="H72" i="10" s="1"/>
  <c r="I74" i="10"/>
  <c r="I72" i="10" s="1"/>
  <c r="L74" i="10"/>
  <c r="M74" i="10" s="1"/>
  <c r="J75" i="10"/>
  <c r="K75" i="10"/>
  <c r="L75" i="10"/>
  <c r="M75" i="10" s="1"/>
  <c r="E78" i="10"/>
  <c r="E76" i="10" s="1"/>
  <c r="J76" i="10" s="1"/>
  <c r="F78" i="10"/>
  <c r="F76" i="10" s="1"/>
  <c r="K76" i="10" s="1"/>
  <c r="G78" i="10"/>
  <c r="L78" i="10" s="1"/>
  <c r="M78" i="10" s="1"/>
  <c r="H78" i="10"/>
  <c r="O78" i="10" s="1"/>
  <c r="I78" i="10"/>
  <c r="P78" i="10" s="1"/>
  <c r="J79" i="10"/>
  <c r="K79" i="10"/>
  <c r="L79" i="10"/>
  <c r="M79" i="10" s="1"/>
  <c r="O79" i="10"/>
  <c r="P79" i="10"/>
  <c r="J80" i="10"/>
  <c r="K80" i="10"/>
  <c r="L80" i="10"/>
  <c r="M80" i="10" s="1"/>
  <c r="O80" i="10"/>
  <c r="P80" i="10"/>
  <c r="F82" i="10"/>
  <c r="F81" i="10" s="1"/>
  <c r="K81" i="10" s="1"/>
  <c r="G82" i="10"/>
  <c r="G81" i="10" s="1"/>
  <c r="L81" i="10" s="1"/>
  <c r="M81" i="10" s="1"/>
  <c r="H82" i="10"/>
  <c r="H81" i="10" s="1"/>
  <c r="O81" i="10" s="1"/>
  <c r="I82" i="10"/>
  <c r="I81" i="10" s="1"/>
  <c r="P81" i="10" s="1"/>
  <c r="K82" i="10"/>
  <c r="L82" i="10"/>
  <c r="M82" i="10" s="1"/>
  <c r="O82" i="10"/>
  <c r="P82" i="10"/>
  <c r="E84" i="10"/>
  <c r="J84" i="10" s="1"/>
  <c r="K84" i="10"/>
  <c r="L84" i="10"/>
  <c r="M84" i="10" s="1"/>
  <c r="O84" i="10"/>
  <c r="P84" i="10"/>
  <c r="J85" i="10"/>
  <c r="K85" i="10"/>
  <c r="L85" i="10"/>
  <c r="M85" i="10" s="1"/>
  <c r="O85" i="10"/>
  <c r="P85" i="10"/>
  <c r="E93" i="10"/>
  <c r="J93" i="10" s="1"/>
  <c r="F93" i="10"/>
  <c r="F91" i="10" s="1"/>
  <c r="G93" i="10"/>
  <c r="L93" i="10" s="1"/>
  <c r="M93" i="10" s="1"/>
  <c r="H93" i="10"/>
  <c r="H91" i="10" s="1"/>
  <c r="H90" i="10" s="1"/>
  <c r="O90" i="10" s="1"/>
  <c r="I93" i="10"/>
  <c r="I91" i="10" s="1"/>
  <c r="O93" i="10"/>
  <c r="P93" i="10"/>
  <c r="J94" i="10"/>
  <c r="K94" i="10"/>
  <c r="L94" i="10"/>
  <c r="M94" i="10" s="1"/>
  <c r="O94" i="10"/>
  <c r="P94" i="10"/>
  <c r="E98" i="10"/>
  <c r="E96" i="10" s="1"/>
  <c r="F98" i="10"/>
  <c r="K98" i="10" s="1"/>
  <c r="G98" i="10"/>
  <c r="G95" i="10" s="1"/>
  <c r="L95" i="10" s="1"/>
  <c r="M95" i="10" s="1"/>
  <c r="H98" i="10"/>
  <c r="O98" i="10" s="1"/>
  <c r="I98" i="10"/>
  <c r="P98" i="10" s="1"/>
  <c r="J98" i="10"/>
  <c r="J99" i="10"/>
  <c r="K99" i="10"/>
  <c r="L99" i="10"/>
  <c r="M99" i="10" s="1"/>
  <c r="O99" i="10"/>
  <c r="P99" i="10"/>
  <c r="E101" i="10"/>
  <c r="J101" i="10" s="1"/>
  <c r="F101" i="10"/>
  <c r="G101" i="10"/>
  <c r="H101" i="10"/>
  <c r="O101" i="10" s="1"/>
  <c r="I101" i="10"/>
  <c r="P101" i="10" s="1"/>
  <c r="K101" i="10"/>
  <c r="L101" i="10"/>
  <c r="M101" i="10" s="1"/>
  <c r="J102" i="10"/>
  <c r="K102" i="10"/>
  <c r="L102" i="10"/>
  <c r="M102" i="10" s="1"/>
  <c r="O102" i="10"/>
  <c r="P102" i="10"/>
  <c r="E106" i="10"/>
  <c r="F106" i="10"/>
  <c r="K106" i="10" s="1"/>
  <c r="G106" i="10"/>
  <c r="L106" i="10" s="1"/>
  <c r="M106" i="10" s="1"/>
  <c r="H106" i="10"/>
  <c r="I106" i="10"/>
  <c r="J106" i="10"/>
  <c r="J107" i="10"/>
  <c r="K107" i="10"/>
  <c r="L107" i="10"/>
  <c r="M107" i="10" s="1"/>
  <c r="E109" i="10"/>
  <c r="J109" i="10" s="1"/>
  <c r="F109" i="10"/>
  <c r="K109" i="10" s="1"/>
  <c r="G109" i="10"/>
  <c r="L109" i="10" s="1"/>
  <c r="M109" i="10" s="1"/>
  <c r="H109" i="10"/>
  <c r="I109" i="10"/>
  <c r="J110" i="10"/>
  <c r="K110" i="10"/>
  <c r="L110" i="10"/>
  <c r="M110" i="10" s="1"/>
  <c r="E112" i="10"/>
  <c r="J112" i="10" s="1"/>
  <c r="F112" i="10"/>
  <c r="K112" i="10" s="1"/>
  <c r="G112" i="10"/>
  <c r="L112" i="10" s="1"/>
  <c r="M112" i="10" s="1"/>
  <c r="H112" i="10"/>
  <c r="I112" i="10"/>
  <c r="J113" i="10"/>
  <c r="K113" i="10"/>
  <c r="L113" i="10"/>
  <c r="M113" i="10" s="1"/>
  <c r="E121" i="10"/>
  <c r="F121" i="10"/>
  <c r="G121" i="10"/>
  <c r="L121" i="10" s="1"/>
  <c r="M121" i="10" s="1"/>
  <c r="H121" i="10"/>
  <c r="H119" i="10" s="1"/>
  <c r="I121" i="10"/>
  <c r="J121" i="10"/>
  <c r="K121" i="10"/>
  <c r="J122" i="10"/>
  <c r="K122" i="10"/>
  <c r="L122" i="10"/>
  <c r="M122" i="10" s="1"/>
  <c r="E124" i="10"/>
  <c r="J124" i="10" s="1"/>
  <c r="F124" i="10"/>
  <c r="K124" i="10" s="1"/>
  <c r="G124" i="10"/>
  <c r="H124" i="10"/>
  <c r="I124" i="10"/>
  <c r="L124" i="10"/>
  <c r="M124" i="10" s="1"/>
  <c r="J126" i="10"/>
  <c r="K126" i="10"/>
  <c r="G91" i="10" l="1"/>
  <c r="G90" i="10" s="1"/>
  <c r="L90" i="10" s="1"/>
  <c r="M90" i="10" s="1"/>
  <c r="F51" i="11"/>
  <c r="E91" i="10"/>
  <c r="E90" i="10" s="1"/>
  <c r="J90" i="10" s="1"/>
  <c r="I104" i="10"/>
  <c r="G119" i="10"/>
  <c r="L119" i="10" s="1"/>
  <c r="M119" i="10" s="1"/>
  <c r="K93" i="10"/>
  <c r="J19" i="10"/>
  <c r="F17" i="10"/>
  <c r="K17" i="10" s="1"/>
  <c r="P52" i="10"/>
  <c r="N52" i="10"/>
  <c r="M52" i="10" s="1"/>
  <c r="E119" i="10"/>
  <c r="E114" i="10" s="1"/>
  <c r="F72" i="10"/>
  <c r="K72" i="10" s="1"/>
  <c r="E56" i="10"/>
  <c r="E54" i="10" s="1"/>
  <c r="E40" i="11"/>
  <c r="E39" i="11" s="1"/>
  <c r="I47" i="10"/>
  <c r="N49" i="10"/>
  <c r="M49" i="10" s="1"/>
  <c r="K40" i="10"/>
  <c r="G49" i="11"/>
  <c r="M20" i="10"/>
  <c r="H118" i="10"/>
  <c r="H114" i="10"/>
  <c r="K78" i="10"/>
  <c r="L58" i="10"/>
  <c r="M58" i="10" s="1"/>
  <c r="J40" i="10"/>
  <c r="I42" i="10"/>
  <c r="P42" i="10" s="1"/>
  <c r="N44" i="10"/>
  <c r="M44" i="10" s="1"/>
  <c r="L91" i="10"/>
  <c r="M91" i="10" s="1"/>
  <c r="J78" i="10"/>
  <c r="K58" i="10"/>
  <c r="G118" i="10"/>
  <c r="L118" i="10" s="1"/>
  <c r="M118" i="10" s="1"/>
  <c r="G114" i="10"/>
  <c r="E62" i="10"/>
  <c r="J62" i="10" s="1"/>
  <c r="K44" i="10"/>
  <c r="G51" i="11"/>
  <c r="M11" i="10"/>
  <c r="F48" i="11"/>
  <c r="F47" i="11" s="1"/>
  <c r="F38" i="11" s="1"/>
  <c r="F37" i="11" s="1"/>
  <c r="E48" i="11"/>
  <c r="H42" i="10"/>
  <c r="O42" i="10" s="1"/>
  <c r="G42" i="10"/>
  <c r="L42" i="10" s="1"/>
  <c r="M42" i="10" s="1"/>
  <c r="E54" i="11"/>
  <c r="G13" i="10"/>
  <c r="L13" i="10" s="1"/>
  <c r="M13" i="10" s="1"/>
  <c r="P44" i="10"/>
  <c r="K48" i="11"/>
  <c r="E82" i="10"/>
  <c r="E81" i="10" s="1"/>
  <c r="J81" i="10" s="1"/>
  <c r="E51" i="11"/>
  <c r="I119" i="10"/>
  <c r="I114" i="10" s="1"/>
  <c r="E104" i="10"/>
  <c r="J104" i="10" s="1"/>
  <c r="J103" i="10" s="1"/>
  <c r="F119" i="10"/>
  <c r="F114" i="10" s="1"/>
  <c r="G17" i="10"/>
  <c r="L17" i="10" s="1"/>
  <c r="M17" i="10" s="1"/>
  <c r="O91" i="10"/>
  <c r="G48" i="11"/>
  <c r="K23" i="10"/>
  <c r="E59" i="11"/>
  <c r="E95" i="10"/>
  <c r="J95" i="10" s="1"/>
  <c r="J96" i="10"/>
  <c r="E7" i="10"/>
  <c r="P91" i="10"/>
  <c r="I90" i="10"/>
  <c r="P90" i="10" s="1"/>
  <c r="J54" i="10"/>
  <c r="E52" i="10"/>
  <c r="J52" i="10" s="1"/>
  <c r="I103" i="10"/>
  <c r="F90" i="10"/>
  <c r="K90" i="10" s="1"/>
  <c r="K91" i="10"/>
  <c r="K38" i="10"/>
  <c r="I118" i="10"/>
  <c r="F118" i="10"/>
  <c r="K118" i="10" s="1"/>
  <c r="K119" i="10"/>
  <c r="H52" i="10"/>
  <c r="O52" i="10" s="1"/>
  <c r="I96" i="10"/>
  <c r="P96" i="10" s="1"/>
  <c r="I62" i="10"/>
  <c r="I38" i="10"/>
  <c r="G104" i="10"/>
  <c r="I17" i="10"/>
  <c r="F104" i="10"/>
  <c r="F96" i="10"/>
  <c r="K96" i="10" s="1"/>
  <c r="J91" i="10"/>
  <c r="G76" i="10"/>
  <c r="L76" i="10" s="1"/>
  <c r="M76" i="10" s="1"/>
  <c r="J74" i="10"/>
  <c r="F62" i="10"/>
  <c r="K62" i="10" s="1"/>
  <c r="J56" i="10"/>
  <c r="K49" i="10"/>
  <c r="J44" i="10"/>
  <c r="G38" i="10"/>
  <c r="H17" i="10"/>
  <c r="K15" i="10"/>
  <c r="J10" i="10"/>
  <c r="I95" i="10"/>
  <c r="P95" i="10" s="1"/>
  <c r="E47" i="10"/>
  <c r="J47" i="10" s="1"/>
  <c r="H104" i="10"/>
  <c r="H96" i="10"/>
  <c r="O96" i="10" s="1"/>
  <c r="F95" i="10"/>
  <c r="K95" i="10" s="1"/>
  <c r="I76" i="10"/>
  <c r="P76" i="10" s="1"/>
  <c r="H62" i="10"/>
  <c r="G96" i="10"/>
  <c r="L96" i="10" s="1"/>
  <c r="M96" i="10" s="1"/>
  <c r="H76" i="10"/>
  <c r="O76" i="10" s="1"/>
  <c r="G62" i="10"/>
  <c r="L62" i="10" s="1"/>
  <c r="M62" i="10" s="1"/>
  <c r="H38" i="10"/>
  <c r="L54" i="10"/>
  <c r="M54" i="10" s="1"/>
  <c r="J15" i="10"/>
  <c r="L98" i="10"/>
  <c r="M98" i="10" s="1"/>
  <c r="H95" i="10"/>
  <c r="O95" i="10" s="1"/>
  <c r="L30" i="9"/>
  <c r="K30" i="9"/>
  <c r="H30" i="9"/>
  <c r="I30" i="9" s="1"/>
  <c r="F30" i="9"/>
  <c r="L27" i="9"/>
  <c r="K27" i="9"/>
  <c r="H27" i="9"/>
  <c r="I27" i="9" s="1"/>
  <c r="G27" i="9"/>
  <c r="F27" i="9"/>
  <c r="L26" i="9"/>
  <c r="K26" i="9"/>
  <c r="H26" i="9"/>
  <c r="G26" i="9"/>
  <c r="F26" i="9"/>
  <c r="L20" i="9"/>
  <c r="K20" i="9"/>
  <c r="H20" i="9"/>
  <c r="G20" i="9"/>
  <c r="F20" i="9"/>
  <c r="L19" i="9"/>
  <c r="K19" i="9"/>
  <c r="H19" i="9"/>
  <c r="G19" i="9"/>
  <c r="F19" i="9"/>
  <c r="H14" i="9"/>
  <c r="I14" i="9" s="1"/>
  <c r="G14" i="9"/>
  <c r="F14" i="9"/>
  <c r="H13" i="9"/>
  <c r="I13" i="9" s="1"/>
  <c r="G13" i="9"/>
  <c r="F13" i="9"/>
  <c r="H12" i="9"/>
  <c r="I12" i="9" s="1"/>
  <c r="G12" i="9"/>
  <c r="F12" i="9"/>
  <c r="G11" i="9"/>
  <c r="F11" i="9"/>
  <c r="H10" i="9"/>
  <c r="I10" i="9" s="1"/>
  <c r="G10" i="9"/>
  <c r="F10" i="9"/>
  <c r="H9" i="9"/>
  <c r="I9" i="9" s="1"/>
  <c r="G9" i="9"/>
  <c r="F9" i="9"/>
  <c r="H8" i="9"/>
  <c r="I8" i="9" s="1"/>
  <c r="G8" i="9"/>
  <c r="F8" i="9"/>
  <c r="F7" i="10" l="1"/>
  <c r="J119" i="10"/>
  <c r="E103" i="10"/>
  <c r="E118" i="10"/>
  <c r="J118" i="10" s="1"/>
  <c r="G47" i="11"/>
  <c r="G38" i="11" s="1"/>
  <c r="G37" i="11" s="1"/>
  <c r="G7" i="10"/>
  <c r="P47" i="10"/>
  <c r="N47" i="10"/>
  <c r="M47" i="10" s="1"/>
  <c r="E26" i="11"/>
  <c r="E25" i="11" s="1"/>
  <c r="E11" i="11" s="1"/>
  <c r="E10" i="11" s="1"/>
  <c r="E47" i="11"/>
  <c r="E38" i="11" s="1"/>
  <c r="E37" i="11" s="1"/>
  <c r="K47" i="11"/>
  <c r="K38" i="11" s="1"/>
  <c r="K37" i="11" s="1"/>
  <c r="J82" i="10"/>
  <c r="L38" i="10"/>
  <c r="M38" i="10" s="1"/>
  <c r="G37" i="10"/>
  <c r="L37" i="10" s="1"/>
  <c r="M37" i="10" s="1"/>
  <c r="K104" i="10"/>
  <c r="K103" i="10" s="1"/>
  <c r="F103" i="10"/>
  <c r="G103" i="10"/>
  <c r="L104" i="10"/>
  <c r="M104" i="10" s="1"/>
  <c r="L7" i="10"/>
  <c r="M7" i="10" s="1"/>
  <c r="I37" i="10"/>
  <c r="J7" i="10"/>
  <c r="H103" i="10"/>
  <c r="H7" i="10"/>
  <c r="F37" i="10"/>
  <c r="K37" i="10" s="1"/>
  <c r="K7" i="10"/>
  <c r="E37" i="10"/>
  <c r="J37" i="10" s="1"/>
  <c r="H37" i="10"/>
  <c r="I7" i="10"/>
  <c r="H11" i="9"/>
  <c r="I11" i="9" s="1"/>
  <c r="F6" i="10" l="1"/>
  <c r="K6" i="10" s="1"/>
  <c r="G6" i="10"/>
  <c r="L6" i="10" s="1"/>
  <c r="M6" i="10" s="1"/>
  <c r="E6" i="10"/>
  <c r="J6" i="10" s="1"/>
  <c r="I6" i="10"/>
  <c r="H6" i="10"/>
</calcChain>
</file>

<file path=xl/sharedStrings.xml><?xml version="1.0" encoding="utf-8"?>
<sst xmlns="http://schemas.openxmlformats.org/spreadsheetml/2006/main" count="407" uniqueCount="191">
  <si>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</si>
  <si>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</si>
  <si>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</si>
  <si>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</si>
  <si>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</si>
  <si>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</si>
  <si>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</si>
  <si>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</si>
  <si>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</si>
  <si>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</si>
  <si>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</si>
  <si>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</si>
  <si>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</si>
  <si>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</si>
  <si>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</si>
  <si>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</si>
  <si>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</si>
  <si>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</si>
  <si>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</si>
  <si>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</si>
  <si>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</si>
  <si>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</si>
  <si>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</si>
  <si>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</si>
  <si>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B. RAČUN FINANCIRANJA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</si>
  <si>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</si>
  <si>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</si>
  <si>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</si>
  <si>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</si>
  <si>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</si>
  <si>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</si>
  <si>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</si>
  <si>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</si>
  <si>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</si>
  <si>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</si>
  <si>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</si>
  <si>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</si>
  <si>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</si>
  <si>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</si>
  <si>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</si>
  <si>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</si>
  <si>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</si>
  <si>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</si>
  <si>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</si>
  <si>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Rashodi za nabavu proizvedene dugotrajne imovine</t>
  </si>
  <si>
    <t>C) PRENESENI VIŠAK ILI PRENESENI MANJAK I VIŠEGODIŠNJI PLAN URAVNOTEŽENJA</t>
  </si>
  <si>
    <t>Naziv</t>
  </si>
  <si>
    <t>Financijski rashodi</t>
  </si>
  <si>
    <t>09 Obrazovanje</t>
  </si>
  <si>
    <t>092 Srednjoškolsko obrazovanje</t>
  </si>
  <si>
    <t>0922 Više srednjoškolsko obrazovanje</t>
  </si>
  <si>
    <t>PROGRAM 2201</t>
  </si>
  <si>
    <t>REDOVNA DJELATNOST SREDNJIH ŠKOLA - MINIMALNI STANDARD</t>
  </si>
  <si>
    <t>Aktivnost A220101</t>
  </si>
  <si>
    <t>Izvor financiranja 48007</t>
  </si>
  <si>
    <t>Aktivnost A220102</t>
  </si>
  <si>
    <t>MATERIJALNI RASHODI SŠ PO STVARNOM TROŠKU</t>
  </si>
  <si>
    <t>Decentralizirana sredstva za srednje škole</t>
  </si>
  <si>
    <t>Aktivnost A220103</t>
  </si>
  <si>
    <t>MATERIJALNI RASHODI SŠ - DRUGI IZVORI</t>
  </si>
  <si>
    <t>Izvor financiranja 32400</t>
  </si>
  <si>
    <t>Vlastiti prihodi srednjih škola</t>
  </si>
  <si>
    <t>Izvor financiranja 47400</t>
  </si>
  <si>
    <t>Prihodi za posebne namjene za srednje škole</t>
  </si>
  <si>
    <t>PLAĆE I DRUGI RASHODI ZA ZAPOSLENE SREDNJIH ŠKOLA</t>
  </si>
  <si>
    <t>Izvor financiranja 53082</t>
  </si>
  <si>
    <t>Ministarstvo znanosti i obrazovanja za srednje škole</t>
  </si>
  <si>
    <t>PROGRAM 2301</t>
  </si>
  <si>
    <t>PROGRAMI OBRAZOVANJA IZNAD STANDARDA</t>
  </si>
  <si>
    <t>Aktivnost A230168</t>
  </si>
  <si>
    <t>EU PROJEKTI KOD PRORAČUNSKIH KORISNIKA</t>
  </si>
  <si>
    <t>Izvor financiranja 51999</t>
  </si>
  <si>
    <t>Prihodi od EU projekata - ostalo</t>
  </si>
  <si>
    <t>Aktivnost A230184</t>
  </si>
  <si>
    <t>ZAVIČAJNA NASTAVA</t>
  </si>
  <si>
    <t>Izvor financiranja 11001</t>
  </si>
  <si>
    <t>Nenamjenski prihodi i primici</t>
  </si>
  <si>
    <t>PROGRAM 2406</t>
  </si>
  <si>
    <t>OPREMANJE U SREDNJIM ŠKOLAMA</t>
  </si>
  <si>
    <t>Kapitalni projekt K240601</t>
  </si>
  <si>
    <t>ŠKOLSKI NAMJEŠTAJ I OPREMA</t>
  </si>
  <si>
    <t>Izvor financiranja 51100</t>
  </si>
  <si>
    <t>Strukturni fondovi EU</t>
  </si>
  <si>
    <t>UKUPNO</t>
  </si>
  <si>
    <t>Agencija za odgoj i obrazovanje za proračunske korisnike</t>
  </si>
  <si>
    <t>MATERIJALNI RASHODI SŠ PO KRITERIJIMA</t>
  </si>
  <si>
    <t>PROGRAM 9211</t>
  </si>
  <si>
    <t>MOZAIK 5</t>
  </si>
  <si>
    <t>Tekući projekt T921101</t>
  </si>
  <si>
    <t>PROVEDBA PROJEKTA MOZAIK 5</t>
  </si>
  <si>
    <t xml:space="preserve">KLASA: </t>
  </si>
  <si>
    <t xml:space="preserve">UR.BROJ: </t>
  </si>
  <si>
    <t>Aktivnost A230101</t>
  </si>
  <si>
    <t>MAT TROŠKOVI IZNAD STANDARDA</t>
  </si>
  <si>
    <t>Aktivnost A230165</t>
  </si>
  <si>
    <t>UČENIČKI SERVIS</t>
  </si>
  <si>
    <t>Bankarske usluge</t>
  </si>
  <si>
    <t>Izvor financiranja 53083</t>
  </si>
  <si>
    <t>Predsjednica Školskog odbora:</t>
  </si>
  <si>
    <t>Proračun za 2023.</t>
  </si>
  <si>
    <t>Projekcija proračuna
za 2024.</t>
  </si>
  <si>
    <t>Projekcija proračuna
za 2025.</t>
  </si>
  <si>
    <t>Rashodi za nabavu</t>
  </si>
  <si>
    <t>Aktivnost A230122</t>
  </si>
  <si>
    <t>PSIHOLOG</t>
  </si>
  <si>
    <t>Aktivnost A220104</t>
  </si>
  <si>
    <t>Aktivnost A230141</t>
  </si>
  <si>
    <t>POKRETOM DO ZDRAVLJA</t>
  </si>
  <si>
    <t>Hrvatski zavod za zapošljavanje za proračunske korisnike</t>
  </si>
  <si>
    <t>Izvor financiranja 53086</t>
  </si>
  <si>
    <t>Aktivnost A230162</t>
  </si>
  <si>
    <t>ŽUPANIJSKO STRUČNO VIJEĆE</t>
  </si>
  <si>
    <t>Aktivnost A230185</t>
  </si>
  <si>
    <t>VOLONTIRANJE U PALIJATIVNOJ SKRBI</t>
  </si>
  <si>
    <t>PROGRAM 2302</t>
  </si>
  <si>
    <t>Aktivnost A230205</t>
  </si>
  <si>
    <t>SRED. ZAŠTITE PROTIV COVID-19</t>
  </si>
  <si>
    <t>PROGRAM 2402</t>
  </si>
  <si>
    <t>INV. ODRŽAVANJE SREDNJIH ŠKOLA</t>
  </si>
  <si>
    <t>INV. ODRŽAVANJE SREDNJIH ŠKOLA - MIN. STANDARD</t>
  </si>
  <si>
    <t>Aktivnost A240201</t>
  </si>
  <si>
    <t>PROGRAM 2404</t>
  </si>
  <si>
    <t>KAPITALNA ULAGANJA U SREDNJE ŠKOLE</t>
  </si>
  <si>
    <t>Aktivnost A240401</t>
  </si>
  <si>
    <t>Projektna dokumentacijaSS</t>
  </si>
  <si>
    <t>Decentralizirana sredstva za kapitalno za srednje škole</t>
  </si>
  <si>
    <t>Izvor financiranja 48008</t>
  </si>
  <si>
    <t>Rashodi za nabavu neproizvedene dug. Imovine</t>
  </si>
  <si>
    <t>Izvor financiranja 81006</t>
  </si>
  <si>
    <t>Zaduživanja za izgradnju objekta u 2018.</t>
  </si>
  <si>
    <t>Danijela Panić, mag. physioth.</t>
  </si>
  <si>
    <t>II. POSEBAN DIO</t>
  </si>
  <si>
    <t>UKUPNI RASHODI EURI</t>
  </si>
  <si>
    <t>Donacije za srednje škole</t>
  </si>
  <si>
    <t>Decentralizirana sredstva za kapitalno srednje škole</t>
  </si>
  <si>
    <t>Rashodi za nabavu neproizvedene dugotrajne imovine</t>
  </si>
  <si>
    <t>Prihodi od EU projekata-ostalo</t>
  </si>
  <si>
    <t>Ukupno</t>
  </si>
  <si>
    <t>Naziv rashoda</t>
  </si>
  <si>
    <t>RASHODI POSLOVANJA</t>
  </si>
  <si>
    <t>Prihodi od prodaje neproizvedene dugotrajne imovine</t>
  </si>
  <si>
    <t>Prihodi od prodaje nefinancijske imovine</t>
  </si>
  <si>
    <t>Prihodi iz nadležnog proračuna i od HZZO-a temeljem ugovornih obveza</t>
  </si>
  <si>
    <t>Prihodi od prodaje proizvoda i roba te pruženih usluga i prihodi od donacija</t>
  </si>
  <si>
    <t>Prihodi od administrativnih pristojbi i po posebnim propisima</t>
  </si>
  <si>
    <t>Prihodi od imovine</t>
  </si>
  <si>
    <t>Pomoći iz inozemstva i od subjekata unutar općeg proračuna</t>
  </si>
  <si>
    <t>Prihodi poslovanja</t>
  </si>
  <si>
    <t>Naziv prihoda</t>
  </si>
  <si>
    <t>HZZ Psiholog</t>
  </si>
  <si>
    <t>Zaduživanja 2018.</t>
  </si>
  <si>
    <t>HZZ</t>
  </si>
  <si>
    <t>Višak</t>
  </si>
  <si>
    <t>I. IZMJENE FINANCIJSKOG PLANA MEDICINSKE ŠKOLE  PULA 
ZA 2023. I PROJEKCIJA ZA 2024. I 2025. GODINU</t>
  </si>
  <si>
    <t xml:space="preserve">I. Izmjene i dopune </t>
  </si>
  <si>
    <t>Razlika</t>
  </si>
  <si>
    <t>Izvor financiranja 62400</t>
  </si>
  <si>
    <t>Donacije</t>
  </si>
  <si>
    <t>Pula, 30. lipnja 2023.</t>
  </si>
  <si>
    <t>Aktivnost A230209</t>
  </si>
  <si>
    <t>MENSTRUALNE HIGIJENSKE POTREPŠTINE</t>
  </si>
  <si>
    <t>Izvor financiranja 53102</t>
  </si>
  <si>
    <t>Ministarstvo rada</t>
  </si>
  <si>
    <t>Kapitalni projekt K240604</t>
  </si>
  <si>
    <t>OPREMANJE KABINETA</t>
  </si>
  <si>
    <t>OIB 56214920982</t>
  </si>
  <si>
    <t>I. IZMJENE I DOPUNE FINANCIJSKOG PLANA MEDICINSKE ŠKOLE PULA 
ZA 2023. I PROJEKCIJE ZA 2024. I 2025. GODINU</t>
  </si>
  <si>
    <t>11</t>
  </si>
  <si>
    <t>32</t>
  </si>
  <si>
    <t>Vlastiti prihodi proračunskih korisnika</t>
  </si>
  <si>
    <t>47</t>
  </si>
  <si>
    <t>Prihodi za posebne namjene za proračunske korisnike</t>
  </si>
  <si>
    <t>48</t>
  </si>
  <si>
    <t>Decentralizirana sredstva</t>
  </si>
  <si>
    <t>51</t>
  </si>
  <si>
    <t>Europska unija</t>
  </si>
  <si>
    <t>53</t>
  </si>
  <si>
    <t>Ministarstva i državne ustanove za proračunske korisnike</t>
  </si>
  <si>
    <t>62</t>
  </si>
  <si>
    <t>Donacije za proračunske korisnike</t>
  </si>
  <si>
    <t>Izvori financiranja</t>
  </si>
  <si>
    <t>Projekcija 2024.</t>
  </si>
  <si>
    <t>Projekcija 2025.</t>
  </si>
  <si>
    <t>Plan 23.</t>
  </si>
  <si>
    <t>I. Izmjene plana 23.</t>
  </si>
  <si>
    <t>Petra Šarić</t>
  </si>
  <si>
    <t>I. Izmjene i dopune</t>
  </si>
  <si>
    <t>I. IZMJENE I DOPUNE FINANCIJSKOG PLANA MEDICINSKE ŠKOLE PULA ZA 2023. I PROJEKCIJA ZA 2024. I 2025. GODINU</t>
  </si>
  <si>
    <t xml:space="preserve"> </t>
  </si>
  <si>
    <t>EUR</t>
  </si>
  <si>
    <t>I. IZMJENE FINANCIJSKOG PLANA MEDICINSKE ŠKOLE PULA 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</si>
</sst>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n"/>
    <numFmt numFmtId="165" formatCode="[$-1041A]#,##0.00;\-\ #,##0.00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/>
    </xf>
    <xf numFmtId="0" fontId="14" fillId="0" borderId="0" xfId="0" applyFont="1"/>
    <xf numFmtId="0" fontId="22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3" fontId="6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23" fillId="0" borderId="0" xfId="0" applyFont="1" applyAlignment="1">
      <alignment horizontal="left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0" fillId="0" borderId="0" xfId="0" applyFont="1"/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2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26" fillId="0" borderId="3" xfId="0" applyFont="1" applyBorder="1"/>
    <xf numFmtId="3" fontId="21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3" fontId="9" fillId="5" borderId="0" xfId="0" applyNumberFormat="1" applyFont="1" applyFill="1" applyBorder="1" applyAlignment="1">
      <alignment horizontal="right"/>
    </xf>
    <xf numFmtId="164" fontId="22" fillId="0" borderId="0" xfId="0" applyNumberFormat="1" applyFont="1" applyBorder="1"/>
    <xf numFmtId="164" fontId="27" fillId="0" borderId="0" xfId="0" applyNumberFormat="1" applyFont="1" applyBorder="1"/>
    <xf numFmtId="4" fontId="6" fillId="3" borderId="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3" fontId="8" fillId="5" borderId="4" xfId="0" applyNumberFormat="1" applyFont="1" applyFill="1" applyBorder="1" applyAlignment="1">
      <alignment horizontal="right"/>
    </xf>
    <xf numFmtId="164" fontId="28" fillId="0" borderId="3" xfId="0" applyNumberFormat="1" applyFont="1" applyBorder="1"/>
    <xf numFmtId="164" fontId="29" fillId="0" borderId="3" xfId="0" applyNumberFormat="1" applyFont="1" applyBorder="1"/>
    <xf numFmtId="0" fontId="5" fillId="2" borderId="4" xfId="0" applyNumberFormat="1" applyFont="1" applyFill="1" applyBorder="1" applyAlignment="1" applyProtection="1">
      <alignment horizontal="left" vertical="center" wrapText="1"/>
    </xf>
    <xf numFmtId="164" fontId="30" fillId="0" borderId="3" xfId="0" applyNumberFormat="1" applyFont="1" applyBorder="1"/>
    <xf numFmtId="164" fontId="31" fillId="0" borderId="3" xfId="0" applyNumberFormat="1" applyFont="1" applyBorder="1"/>
    <xf numFmtId="0" fontId="32" fillId="2" borderId="4" xfId="0" applyNumberFormat="1" applyFont="1" applyFill="1" applyBorder="1" applyAlignment="1" applyProtection="1">
      <alignment horizontal="left" vertical="center" wrapText="1"/>
    </xf>
    <xf numFmtId="0" fontId="12" fillId="2" borderId="4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 indent="1"/>
    </xf>
    <xf numFmtId="0" fontId="12" fillId="2" borderId="2" xfId="0" applyNumberFormat="1" applyFont="1" applyFill="1" applyBorder="1" applyAlignment="1" applyProtection="1">
      <alignment horizontal="left" vertical="center" wrapText="1" indent="1"/>
    </xf>
    <xf numFmtId="0" fontId="1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3" fontId="8" fillId="5" borderId="6" xfId="0" applyNumberFormat="1" applyFont="1" applyFill="1" applyBorder="1" applyAlignment="1">
      <alignment horizontal="right"/>
    </xf>
    <xf numFmtId="0" fontId="33" fillId="0" borderId="3" xfId="0" applyFont="1" applyFill="1" applyBorder="1" applyAlignment="1">
      <alignment horizontal="left" vertical="top" wrapText="1"/>
    </xf>
    <xf numFmtId="0" fontId="34" fillId="5" borderId="3" xfId="0" applyFont="1" applyFill="1" applyBorder="1" applyAlignment="1">
      <alignment vertical="top" wrapText="1"/>
    </xf>
    <xf numFmtId="0" fontId="12" fillId="2" borderId="7" xfId="0" applyNumberFormat="1" applyFont="1" applyFill="1" applyBorder="1" applyAlignment="1" applyProtection="1">
      <alignment horizontal="left" vertical="center" wrapText="1"/>
    </xf>
    <xf numFmtId="3" fontId="8" fillId="5" borderId="7" xfId="0" applyNumberFormat="1" applyFont="1" applyFill="1" applyBorder="1" applyAlignment="1">
      <alignment horizontal="right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28" fillId="0" borderId="3" xfId="0" applyFont="1" applyBorder="1"/>
    <xf numFmtId="0" fontId="11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26" fillId="0" borderId="3" xfId="0" applyNumberFormat="1" applyFont="1" applyBorder="1"/>
    <xf numFmtId="4" fontId="10" fillId="2" borderId="4" xfId="0" applyNumberFormat="1" applyFont="1" applyFill="1" applyBorder="1" applyAlignment="1">
      <alignment horizontal="right"/>
    </xf>
    <xf numFmtId="4" fontId="10" fillId="0" borderId="3" xfId="0" applyNumberFormat="1" applyFont="1" applyBorder="1"/>
    <xf numFmtId="4" fontId="3" fillId="0" borderId="0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4" fontId="2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2" fillId="7" borderId="1" xfId="0" applyNumberFormat="1" applyFont="1" applyFill="1" applyBorder="1" applyAlignment="1" applyProtection="1">
      <alignment horizontal="left" vertical="center" wrapText="1"/>
    </xf>
    <xf numFmtId="0" fontId="32" fillId="7" borderId="2" xfId="0" applyNumberFormat="1" applyFont="1" applyFill="1" applyBorder="1" applyAlignment="1" applyProtection="1">
      <alignment horizontal="left" vertical="center" wrapText="1"/>
    </xf>
    <xf numFmtId="0" fontId="32" fillId="7" borderId="4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left" vertical="center" wrapText="1"/>
    </xf>
    <xf numFmtId="0" fontId="12" fillId="2" borderId="4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 indent="1"/>
    </xf>
    <xf numFmtId="0" fontId="12" fillId="2" borderId="2" xfId="0" applyNumberFormat="1" applyFont="1" applyFill="1" applyBorder="1" applyAlignment="1" applyProtection="1">
      <alignment horizontal="left" vertical="center" wrapText="1" indent="1"/>
    </xf>
    <xf numFmtId="0" fontId="12" fillId="2" borderId="4" xfId="0" applyNumberFormat="1" applyFont="1" applyFill="1" applyBorder="1" applyAlignment="1" applyProtection="1">
      <alignment horizontal="left" vertical="center" wrapText="1" indent="1"/>
    </xf>
    <xf numFmtId="0" fontId="32" fillId="11" borderId="1" xfId="0" applyNumberFormat="1" applyFont="1" applyFill="1" applyBorder="1" applyAlignment="1" applyProtection="1">
      <alignment horizontal="left" vertical="center" wrapText="1"/>
    </xf>
    <xf numFmtId="0" fontId="32" fillId="11" borderId="2" xfId="0" applyNumberFormat="1" applyFont="1" applyFill="1" applyBorder="1" applyAlignment="1" applyProtection="1">
      <alignment horizontal="left" vertical="center" wrapText="1"/>
    </xf>
    <xf numFmtId="0" fontId="32" fillId="11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2" fillId="15" borderId="1" xfId="0" applyNumberFormat="1" applyFont="1" applyFill="1" applyBorder="1" applyAlignment="1" applyProtection="1">
      <alignment horizontal="left" vertical="center" wrapText="1"/>
    </xf>
    <xf numFmtId="0" fontId="32" fillId="15" borderId="2" xfId="0" applyNumberFormat="1" applyFont="1" applyFill="1" applyBorder="1" applyAlignment="1" applyProtection="1">
      <alignment horizontal="left" vertical="center" wrapText="1"/>
    </xf>
    <xf numFmtId="0" fontId="32" fillId="15" borderId="4" xfId="0" applyNumberFormat="1" applyFont="1" applyFill="1" applyBorder="1" applyAlignment="1" applyProtection="1">
      <alignment horizontal="left" vertical="center" wrapText="1"/>
    </xf>
    <xf numFmtId="0" fontId="32" fillId="10" borderId="1" xfId="0" applyNumberFormat="1" applyFont="1" applyFill="1" applyBorder="1" applyAlignment="1" applyProtection="1">
      <alignment horizontal="left" vertical="center" wrapText="1"/>
    </xf>
    <xf numFmtId="0" fontId="32" fillId="10" borderId="2" xfId="0" applyNumberFormat="1" applyFont="1" applyFill="1" applyBorder="1" applyAlignment="1" applyProtection="1">
      <alignment horizontal="left" vertical="center" wrapText="1"/>
    </xf>
    <xf numFmtId="0" fontId="32" fillId="10" borderId="4" xfId="0" applyNumberFormat="1" applyFont="1" applyFill="1" applyBorder="1" applyAlignment="1" applyProtection="1">
      <alignment horizontal="left" vertical="center" wrapText="1"/>
    </xf>
    <xf numFmtId="0" fontId="32" fillId="12" borderId="1" xfId="0" applyNumberFormat="1" applyFont="1" applyFill="1" applyBorder="1" applyAlignment="1" applyProtection="1">
      <alignment horizontal="left" vertical="center" wrapText="1"/>
    </xf>
    <xf numFmtId="0" fontId="32" fillId="12" borderId="2" xfId="0" applyNumberFormat="1" applyFont="1" applyFill="1" applyBorder="1" applyAlignment="1" applyProtection="1">
      <alignment horizontal="left" vertical="center" wrapText="1"/>
    </xf>
    <xf numFmtId="0" fontId="32" fillId="12" borderId="4" xfId="0" applyNumberFormat="1" applyFont="1" applyFill="1" applyBorder="1" applyAlignment="1" applyProtection="1">
      <alignment horizontal="left" vertical="center" wrapText="1"/>
    </xf>
    <xf numFmtId="0" fontId="32" fillId="14" borderId="1" xfId="0" applyNumberFormat="1" applyFont="1" applyFill="1" applyBorder="1" applyAlignment="1" applyProtection="1">
      <alignment horizontal="left" vertical="center" wrapText="1"/>
    </xf>
    <xf numFmtId="0" fontId="32" fillId="14" borderId="2" xfId="0" applyNumberFormat="1" applyFont="1" applyFill="1" applyBorder="1" applyAlignment="1" applyProtection="1">
      <alignment horizontal="left" vertical="center" wrapText="1"/>
    </xf>
    <xf numFmtId="0" fontId="32" fillId="14" borderId="4" xfId="0" applyNumberFormat="1" applyFont="1" applyFill="1" applyBorder="1" applyAlignment="1" applyProtection="1">
      <alignment horizontal="left" vertical="center" wrapText="1"/>
    </xf>
    <xf numFmtId="0" fontId="32" fillId="6" borderId="1" xfId="0" applyNumberFormat="1" applyFont="1" applyFill="1" applyBorder="1" applyAlignment="1" applyProtection="1">
      <alignment horizontal="left" vertical="center" wrapText="1"/>
    </xf>
    <xf numFmtId="0" fontId="32" fillId="6" borderId="2" xfId="0" applyNumberFormat="1" applyFont="1" applyFill="1" applyBorder="1" applyAlignment="1" applyProtection="1">
      <alignment horizontal="left" vertical="center" wrapText="1"/>
    </xf>
    <xf numFmtId="0" fontId="32" fillId="6" borderId="4" xfId="0" applyNumberFormat="1" applyFont="1" applyFill="1" applyBorder="1" applyAlignment="1" applyProtection="1">
      <alignment horizontal="left" vertical="center" wrapText="1"/>
    </xf>
    <xf numFmtId="0" fontId="32" fillId="13" borderId="1" xfId="0" applyNumberFormat="1" applyFont="1" applyFill="1" applyBorder="1" applyAlignment="1" applyProtection="1">
      <alignment horizontal="left" vertical="center" wrapText="1"/>
    </xf>
    <xf numFmtId="0" fontId="32" fillId="13" borderId="2" xfId="0" applyNumberFormat="1" applyFont="1" applyFill="1" applyBorder="1" applyAlignment="1" applyProtection="1">
      <alignment horizontal="left" vertical="center" wrapText="1"/>
    </xf>
    <xf numFmtId="0" fontId="32" fillId="13" borderId="4" xfId="0" applyNumberFormat="1" applyFont="1" applyFill="1" applyBorder="1" applyAlignment="1" applyProtection="1">
      <alignment horizontal="left" vertical="center" wrapText="1"/>
    </xf>
    <xf numFmtId="0" fontId="32" fillId="2" borderId="1" xfId="0" applyNumberFormat="1" applyFont="1" applyFill="1" applyBorder="1" applyAlignment="1" applyProtection="1">
      <alignment horizontal="left" vertical="center" wrapText="1"/>
    </xf>
    <xf numFmtId="0" fontId="32" fillId="2" borderId="2" xfId="0" applyNumberFormat="1" applyFont="1" applyFill="1" applyBorder="1" applyAlignment="1" applyProtection="1">
      <alignment horizontal="left" vertical="center" wrapText="1"/>
    </xf>
    <xf numFmtId="0" fontId="32" fillId="2" borderId="4" xfId="0" applyNumberFormat="1" applyFont="1" applyFill="1" applyBorder="1" applyAlignment="1" applyProtection="1">
      <alignment horizontal="left" vertical="center" wrapText="1"/>
    </xf>
    <xf numFmtId="0" fontId="32" fillId="9" borderId="1" xfId="0" applyNumberFormat="1" applyFont="1" applyFill="1" applyBorder="1" applyAlignment="1" applyProtection="1">
      <alignment horizontal="left" vertical="center" wrapText="1"/>
    </xf>
    <xf numFmtId="0" fontId="32" fillId="9" borderId="2" xfId="0" applyNumberFormat="1" applyFont="1" applyFill="1" applyBorder="1" applyAlignment="1" applyProtection="1">
      <alignment horizontal="left" vertical="center" wrapText="1"/>
    </xf>
    <xf numFmtId="0" fontId="32" fillId="9" borderId="4" xfId="0" applyNumberFormat="1" applyFont="1" applyFill="1" applyBorder="1" applyAlignment="1" applyProtection="1">
      <alignment horizontal="left" vertical="center" wrapText="1"/>
    </xf>
    <xf numFmtId="0" fontId="32" fillId="8" borderId="1" xfId="0" applyNumberFormat="1" applyFont="1" applyFill="1" applyBorder="1" applyAlignment="1" applyProtection="1">
      <alignment horizontal="left" vertical="center" wrapText="1"/>
    </xf>
    <xf numFmtId="0" fontId="32" fillId="8" borderId="2" xfId="0" applyNumberFormat="1" applyFont="1" applyFill="1" applyBorder="1" applyAlignment="1" applyProtection="1">
      <alignment horizontal="left" vertical="center" wrapText="1"/>
    </xf>
    <xf numFmtId="0" fontId="32" fillId="8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28" fillId="0" borderId="4" xfId="0" applyFont="1" applyBorder="1" applyAlignment="1">
      <alignment horizontal="right"/>
    </xf>
    <xf numFmtId="0" fontId="8" fillId="0" borderId="3" xfId="0" applyFont="1" applyBorder="1"/>
    <xf numFmtId="0" fontId="28" fillId="0" borderId="3" xfId="0" applyFont="1" applyBorder="1" applyAlignment="1">
      <alignment horizontal="right"/>
    </xf>
    <xf numFmtId="0" fontId="8" fillId="0" borderId="3" xfId="0" applyFont="1" applyFill="1" applyBorder="1" applyAlignment="1" applyProtection="1">
      <alignment vertical="top" wrapText="1" readingOrder="1"/>
      <protection locked="0"/>
    </xf>
    <xf numFmtId="0" fontId="8" fillId="0" borderId="3" xfId="0" applyFont="1" applyFill="1" applyBorder="1" applyAlignment="1"/>
    <xf numFmtId="165" fontId="8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4" fontId="28" fillId="0" borderId="3" xfId="0" applyNumberFormat="1" applyFont="1" applyBorder="1"/>
    <xf numFmtId="0" fontId="8" fillId="0" borderId="3" xfId="0" applyFont="1" applyFill="1" applyBorder="1" applyAlignment="1" applyProtection="1">
      <alignment vertical="top" wrapText="1" readingOrder="1"/>
      <protection locked="0"/>
    </xf>
    <xf numFmtId="0" fontId="8" fillId="0" borderId="3" xfId="0" applyFont="1" applyFill="1" applyBorder="1"/>
    <xf numFmtId="0" fontId="8" fillId="0" borderId="4" xfId="0" applyFont="1" applyFill="1" applyBorder="1" applyAlignment="1" applyProtection="1">
      <alignment horizontal="right" vertical="center" wrapText="1" readingOrder="1"/>
      <protection locked="0"/>
    </xf>
    <xf numFmtId="165" fontId="8" fillId="0" borderId="3" xfId="0" applyNumberFormat="1" applyFont="1" applyFill="1" applyBorder="1" applyAlignment="1" applyProtection="1">
      <alignment horizontal="righ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  <color rgb="FFCCFF99"/>
      <color rgb="FFFF9966"/>
      <color rgb="FF9999FF"/>
      <color rgb="FF6600FF"/>
      <color rgb="FF00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&#382;etak%20Financijskog%20plana%20za%202023%20-%20ISPRAVNI%20PODACI%20M&#352;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-EUR (2)"/>
      <sheetName val="SAŽETAK-EUR"/>
      <sheetName val="SAŽETAK-KN"/>
    </sheetNames>
    <sheetDataSet>
      <sheetData sheetId="0"/>
      <sheetData sheetId="1"/>
      <sheetData sheetId="2">
        <row r="8">
          <cell r="F8">
            <v>8574991.8399999999</v>
          </cell>
          <cell r="G8">
            <v>7063352.6299999999</v>
          </cell>
          <cell r="H8">
            <v>7546050.4100000001</v>
          </cell>
        </row>
        <row r="9">
          <cell r="F9">
            <v>8573929.4499999993</v>
          </cell>
          <cell r="G9">
            <v>7062358.1100000003</v>
          </cell>
          <cell r="H9">
            <v>7546050.4100000001</v>
          </cell>
        </row>
        <row r="10">
          <cell r="F10">
            <v>1062.390000000596</v>
          </cell>
          <cell r="G10">
            <v>994.51999999955297</v>
          </cell>
          <cell r="H10">
            <v>0</v>
          </cell>
        </row>
        <row r="11">
          <cell r="F11">
            <v>8518987.9100000001</v>
          </cell>
          <cell r="G11">
            <v>7577243.21</v>
          </cell>
        </row>
        <row r="12">
          <cell r="F12">
            <v>8192879.7000000002</v>
          </cell>
          <cell r="G12">
            <v>7492133.5199999996</v>
          </cell>
          <cell r="H12">
            <v>7547790.8700000001</v>
          </cell>
        </row>
        <row r="13">
          <cell r="F13">
            <v>8136875.75</v>
          </cell>
          <cell r="G13">
            <v>85109.69000000041</v>
          </cell>
          <cell r="H13">
            <v>73604.52</v>
          </cell>
        </row>
        <row r="14">
          <cell r="F14">
            <v>56003.95</v>
          </cell>
          <cell r="G14">
            <v>513890.58</v>
          </cell>
          <cell r="H14">
            <v>75345</v>
          </cell>
        </row>
        <row r="19">
          <cell r="F19"/>
          <cell r="G19"/>
          <cell r="H19"/>
          <cell r="I19"/>
          <cell r="J19"/>
        </row>
        <row r="20">
          <cell r="F20"/>
          <cell r="G20"/>
          <cell r="H20"/>
          <cell r="I20"/>
          <cell r="J20"/>
        </row>
        <row r="26">
          <cell r="F26"/>
          <cell r="G26"/>
          <cell r="H26"/>
          <cell r="I26"/>
          <cell r="J26"/>
        </row>
        <row r="27">
          <cell r="F27">
            <v>545068.33000000007</v>
          </cell>
          <cell r="G27">
            <v>513883.05</v>
          </cell>
          <cell r="H27">
            <v>75345</v>
          </cell>
          <cell r="I27">
            <v>0</v>
          </cell>
          <cell r="J27">
            <v>0</v>
          </cell>
        </row>
        <row r="30">
          <cell r="F30">
            <v>601072.28</v>
          </cell>
          <cell r="G30">
            <v>513883.05</v>
          </cell>
          <cell r="H30">
            <v>75345</v>
          </cell>
          <cell r="I30">
            <v>0</v>
          </cell>
          <cell r="J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4" workbookViewId="0">
      <selection activeCell="G11" sqref="G11"/>
    </sheetView>
  </sheetViews>
  <sheetFormatPr defaultRowHeight="15" x14ac:dyDescent="0.25"/>
  <cols>
    <col min="5" max="5" width="25.28515625" customWidth="1"/>
    <col min="6" max="12" width="20.7109375" customWidth="1"/>
    <col min="13" max="13" width="11.7109375" bestFit="1" customWidth="1"/>
  </cols>
  <sheetData>
    <row r="1" spans="1:13" ht="42" customHeight="1" x14ac:dyDescent="0.25">
      <c r="A1" s="115" t="s">
        <v>187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3" ht="18" customHeight="1" x14ac:dyDescent="0.25">
      <c r="A2" s="111" t="s">
        <v>165</v>
      </c>
      <c r="B2" s="111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5.75" x14ac:dyDescent="0.25">
      <c r="A3" s="115" t="s">
        <v>27</v>
      </c>
      <c r="B3" s="115"/>
      <c r="C3" s="115"/>
      <c r="D3" s="115"/>
      <c r="E3" s="115"/>
      <c r="F3" s="115"/>
      <c r="G3" s="115"/>
      <c r="H3" s="115"/>
      <c r="I3" s="115"/>
      <c r="J3" s="115"/>
      <c r="K3" s="116"/>
      <c r="L3" s="116"/>
    </row>
    <row r="4" spans="1:13" ht="18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5"/>
      <c r="L4" s="5"/>
    </row>
    <row r="5" spans="1:13" ht="18" customHeight="1" x14ac:dyDescent="0.25">
      <c r="A5" s="115" t="s">
        <v>35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3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7"/>
      <c r="L6" s="36" t="s">
        <v>189</v>
      </c>
    </row>
    <row r="7" spans="1:13" ht="25.5" x14ac:dyDescent="0.25">
      <c r="A7" s="29"/>
      <c r="B7" s="30"/>
      <c r="C7" s="30"/>
      <c r="D7" s="31"/>
      <c r="E7" s="32"/>
      <c r="F7" s="3" t="s">
        <v>37</v>
      </c>
      <c r="G7" s="3" t="s">
        <v>38</v>
      </c>
      <c r="H7" s="3" t="s">
        <v>99</v>
      </c>
      <c r="I7" s="3" t="s">
        <v>155</v>
      </c>
      <c r="J7" s="3" t="s">
        <v>186</v>
      </c>
      <c r="K7" s="3" t="s">
        <v>100</v>
      </c>
      <c r="L7" s="3" t="s">
        <v>101</v>
      </c>
    </row>
    <row r="8" spans="1:13" x14ac:dyDescent="0.25">
      <c r="A8" s="118" t="s">
        <v>0</v>
      </c>
      <c r="B8" s="119"/>
      <c r="C8" s="119"/>
      <c r="D8" s="119"/>
      <c r="E8" s="120"/>
      <c r="F8" s="73">
        <f>'[1]SAŽETAK-KN'!F8/7.5345</f>
        <v>1138096.9991373017</v>
      </c>
      <c r="G8" s="73">
        <f>'[1]SAŽETAK-KN'!G8/7.5345</f>
        <v>937467.99787643505</v>
      </c>
      <c r="H8" s="73">
        <f>'[1]SAŽETAK-KN'!H8/7.5345</f>
        <v>1001533.0028535404</v>
      </c>
      <c r="I8" s="73">
        <f>J8-H8</f>
        <v>510795.79714645946</v>
      </c>
      <c r="J8" s="73">
        <f>J9+J10</f>
        <v>1512328.7999999998</v>
      </c>
      <c r="K8" s="73">
        <f>K9+K10</f>
        <v>1506238.9799999997</v>
      </c>
      <c r="L8" s="73">
        <f>L9+L10</f>
        <v>1506238.9799999997</v>
      </c>
    </row>
    <row r="9" spans="1:13" x14ac:dyDescent="0.25">
      <c r="A9" s="113" t="s">
        <v>1</v>
      </c>
      <c r="B9" s="114"/>
      <c r="C9" s="114"/>
      <c r="D9" s="114"/>
      <c r="E9" s="121"/>
      <c r="F9" s="46">
        <f>'[1]SAŽETAK-KN'!F9/7.5345</f>
        <v>1137955.9957528699</v>
      </c>
      <c r="G9" s="46">
        <f>'[1]SAŽETAK-KN'!G9/7.5345</f>
        <v>937336.00238901051</v>
      </c>
      <c r="H9" s="46">
        <f>'[1]SAŽETAK-KN'!H9/7.5345</f>
        <v>1001533.0028535404</v>
      </c>
      <c r="I9" s="73">
        <f t="shared" ref="I9:I14" si="0">J9-H9</f>
        <v>510795.79714645946</v>
      </c>
      <c r="J9" s="46">
        <f>' Račun prihoda i rashoda'!I11</f>
        <v>1512328.7999999998</v>
      </c>
      <c r="K9" s="46">
        <f>' Račun prihoda i rashoda'!J11</f>
        <v>1506238.9799999997</v>
      </c>
      <c r="L9" s="46">
        <f>' Račun prihoda i rashoda'!K11</f>
        <v>1506238.9799999997</v>
      </c>
    </row>
    <row r="10" spans="1:13" x14ac:dyDescent="0.25">
      <c r="A10" s="122" t="s">
        <v>2</v>
      </c>
      <c r="B10" s="121"/>
      <c r="C10" s="121"/>
      <c r="D10" s="121"/>
      <c r="E10" s="121"/>
      <c r="F10" s="46">
        <f>'[1]SAŽETAK-KN'!F10/7.5345</f>
        <v>141.00338443169366</v>
      </c>
      <c r="G10" s="46">
        <f>'[1]SAŽETAK-KN'!G10/7.5345</f>
        <v>131.99548742445455</v>
      </c>
      <c r="H10" s="46">
        <f>'[1]SAŽETAK-KN'!H10/7.5345</f>
        <v>0</v>
      </c>
      <c r="I10" s="73">
        <f t="shared" si="0"/>
        <v>0</v>
      </c>
      <c r="J10" s="46">
        <f>' Račun prihoda i rashoda'!I30</f>
        <v>0</v>
      </c>
      <c r="K10" s="46">
        <f>' Račun prihoda i rashoda'!J30</f>
        <v>0</v>
      </c>
      <c r="L10" s="46">
        <f>' Račun prihoda i rashoda'!K30</f>
        <v>0</v>
      </c>
    </row>
    <row r="11" spans="1:13" x14ac:dyDescent="0.25">
      <c r="A11" s="37" t="s">
        <v>3</v>
      </c>
      <c r="B11" s="45"/>
      <c r="C11" s="45"/>
      <c r="D11" s="45"/>
      <c r="E11" s="45"/>
      <c r="F11" s="73">
        <f>'[1]SAŽETAK-KN'!F11/7.5345</f>
        <v>1130664.0002654456</v>
      </c>
      <c r="G11" s="73">
        <f>'[1]SAŽETAK-KN'!G11/7.5345</f>
        <v>1005672.998871856</v>
      </c>
      <c r="H11" s="73">
        <f>H12+H13</f>
        <v>1011533.0001990842</v>
      </c>
      <c r="I11" s="73">
        <f t="shared" si="0"/>
        <v>519623.57980091567</v>
      </c>
      <c r="J11" s="73">
        <f>J12+J13</f>
        <v>1531156.5799999998</v>
      </c>
      <c r="K11" s="73">
        <f>K12+K13</f>
        <v>1506238.98</v>
      </c>
      <c r="L11" s="73">
        <f>L12+L13</f>
        <v>1506238.98</v>
      </c>
    </row>
    <row r="12" spans="1:13" x14ac:dyDescent="0.25">
      <c r="A12" s="123" t="s">
        <v>4</v>
      </c>
      <c r="B12" s="114"/>
      <c r="C12" s="114"/>
      <c r="D12" s="114"/>
      <c r="E12" s="114"/>
      <c r="F12" s="46">
        <f>'[1]SAŽETAK-KN'!F12/7.5345</f>
        <v>1087382.0027871788</v>
      </c>
      <c r="G12" s="46">
        <f>'[1]SAŽETAK-KN'!G12/7.5345</f>
        <v>994377.00179175776</v>
      </c>
      <c r="H12" s="46">
        <f>'[1]SAŽETAK-KN'!H12/7.5345</f>
        <v>1001764.0015926737</v>
      </c>
      <c r="I12" s="73">
        <f t="shared" si="0"/>
        <v>518971.91840732621</v>
      </c>
      <c r="J12" s="46">
        <f>' Račun prihoda i rashoda'!I38</f>
        <v>1520735.92</v>
      </c>
      <c r="K12" s="46">
        <f>' Račun prihoda i rashoda'!J38</f>
        <v>1495818.32</v>
      </c>
      <c r="L12" s="46">
        <f>' Račun prihoda i rashoda'!K38</f>
        <v>1495818.32</v>
      </c>
      <c r="M12" s="50"/>
    </row>
    <row r="13" spans="1:13" x14ac:dyDescent="0.25">
      <c r="A13" s="124" t="s">
        <v>5</v>
      </c>
      <c r="B13" s="121"/>
      <c r="C13" s="121"/>
      <c r="D13" s="121"/>
      <c r="E13" s="121"/>
      <c r="F13" s="46">
        <f>'[1]SAŽETAK-KN'!F13/7.5345</f>
        <v>1079949.0012608666</v>
      </c>
      <c r="G13" s="46">
        <f>'[1]SAŽETAK-KN'!G13/7.5345</f>
        <v>11295.997080098268</v>
      </c>
      <c r="H13" s="46">
        <f>'[1]SAŽETAK-KN'!H13/7.5345</f>
        <v>9768.9986064105124</v>
      </c>
      <c r="I13" s="73">
        <f t="shared" si="0"/>
        <v>651.66139358948749</v>
      </c>
      <c r="J13" s="46">
        <f>' Račun prihoda i rashoda'!I65</f>
        <v>10420.66</v>
      </c>
      <c r="K13" s="46">
        <f>' Račun prihoda i rashoda'!J65</f>
        <v>10420.66</v>
      </c>
      <c r="L13" s="46">
        <f>' Račun prihoda i rashoda'!K65</f>
        <v>10420.66</v>
      </c>
    </row>
    <row r="14" spans="1:13" x14ac:dyDescent="0.25">
      <c r="A14" s="125" t="s">
        <v>6</v>
      </c>
      <c r="B14" s="119"/>
      <c r="C14" s="119"/>
      <c r="D14" s="119"/>
      <c r="E14" s="119"/>
      <c r="F14" s="73">
        <f>'[1]SAŽETAK-KN'!F14/7.5345</f>
        <v>7433.0015263122959</v>
      </c>
      <c r="G14" s="73">
        <f>'[1]SAŽETAK-KN'!G14/7.5345</f>
        <v>68205.000995421055</v>
      </c>
      <c r="H14" s="73">
        <f>'[1]SAŽETAK-KN'!H14/7.5345</f>
        <v>10000</v>
      </c>
      <c r="I14" s="73">
        <f t="shared" si="0"/>
        <v>8827.7799999999988</v>
      </c>
      <c r="J14" s="73">
        <f>' Račun prihoda i rashoda'!I32</f>
        <v>18827.78</v>
      </c>
      <c r="K14" s="47">
        <v>0</v>
      </c>
      <c r="L14" s="47">
        <v>0</v>
      </c>
    </row>
    <row r="15" spans="1:13" ht="18" x14ac:dyDescent="0.25">
      <c r="A15" s="26"/>
      <c r="B15" s="24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3" ht="18" customHeight="1" x14ac:dyDescent="0.25">
      <c r="A16" s="115" t="s">
        <v>36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  <c r="K17" s="25"/>
      <c r="L17" s="25"/>
    </row>
    <row r="18" spans="1:12" ht="25.5" x14ac:dyDescent="0.25">
      <c r="A18" s="29"/>
      <c r="B18" s="30"/>
      <c r="C18" s="30"/>
      <c r="D18" s="31"/>
      <c r="E18" s="32"/>
      <c r="F18" s="3" t="s">
        <v>12</v>
      </c>
      <c r="G18" s="3" t="s">
        <v>13</v>
      </c>
      <c r="H18" s="3" t="s">
        <v>99</v>
      </c>
      <c r="I18" s="3" t="s">
        <v>155</v>
      </c>
      <c r="J18" s="3" t="s">
        <v>186</v>
      </c>
      <c r="K18" s="3" t="s">
        <v>100</v>
      </c>
      <c r="L18" s="3" t="s">
        <v>101</v>
      </c>
    </row>
    <row r="19" spans="1:12" ht="15.75" customHeight="1" x14ac:dyDescent="0.25">
      <c r="A19" s="113" t="s">
        <v>8</v>
      </c>
      <c r="B19" s="126"/>
      <c r="C19" s="126"/>
      <c r="D19" s="126"/>
      <c r="E19" s="127"/>
      <c r="F19" s="34">
        <f>'[1]SAŽETAK-KN'!F19*7.5345</f>
        <v>0</v>
      </c>
      <c r="G19" s="34">
        <f>'[1]SAŽETAK-KN'!G19*7.5345</f>
        <v>0</v>
      </c>
      <c r="H19" s="34">
        <f>'[1]SAŽETAK-KN'!H19*7.5345</f>
        <v>0</v>
      </c>
      <c r="I19" s="34">
        <v>0</v>
      </c>
      <c r="J19" s="34">
        <v>0</v>
      </c>
      <c r="K19" s="34">
        <f>'[1]SAŽETAK-KN'!I19*7.5345</f>
        <v>0</v>
      </c>
      <c r="L19" s="34">
        <f>'[1]SAŽETAK-KN'!J19*7.5345</f>
        <v>0</v>
      </c>
    </row>
    <row r="20" spans="1:12" x14ac:dyDescent="0.25">
      <c r="A20" s="113" t="s">
        <v>9</v>
      </c>
      <c r="B20" s="114"/>
      <c r="C20" s="114"/>
      <c r="D20" s="114"/>
      <c r="E20" s="114"/>
      <c r="F20" s="34">
        <f>'[1]SAŽETAK-KN'!F20*7.5345</f>
        <v>0</v>
      </c>
      <c r="G20" s="34">
        <f>'[1]SAŽETAK-KN'!G20*7.5345</f>
        <v>0</v>
      </c>
      <c r="H20" s="34">
        <f>'[1]SAŽETAK-KN'!H20*7.5345</f>
        <v>0</v>
      </c>
      <c r="I20" s="34">
        <v>0</v>
      </c>
      <c r="J20" s="34">
        <v>0</v>
      </c>
      <c r="K20" s="34">
        <f>'[1]SAŽETAK-KN'!I20*7.5345</f>
        <v>0</v>
      </c>
      <c r="L20" s="34">
        <f>'[1]SAŽETAK-KN'!J20*7.5345</f>
        <v>0</v>
      </c>
    </row>
    <row r="21" spans="1:12" x14ac:dyDescent="0.25">
      <c r="A21" s="125" t="s">
        <v>10</v>
      </c>
      <c r="B21" s="119"/>
      <c r="C21" s="119"/>
      <c r="D21" s="119"/>
      <c r="E21" s="119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</row>
    <row r="22" spans="1:12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  <c r="K22" s="25"/>
      <c r="L22" s="25"/>
    </row>
    <row r="23" spans="1:12" ht="18" customHeight="1" x14ac:dyDescent="0.25">
      <c r="A23" s="115" t="s">
        <v>45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  <c r="K24" s="25"/>
      <c r="L24" s="25"/>
    </row>
    <row r="25" spans="1:12" ht="25.5" x14ac:dyDescent="0.25">
      <c r="A25" s="29"/>
      <c r="B25" s="30"/>
      <c r="C25" s="30"/>
      <c r="D25" s="31"/>
      <c r="E25" s="32"/>
      <c r="F25" s="3" t="s">
        <v>12</v>
      </c>
      <c r="G25" s="3" t="s">
        <v>13</v>
      </c>
      <c r="H25" s="3" t="s">
        <v>99</v>
      </c>
      <c r="I25" s="3" t="s">
        <v>155</v>
      </c>
      <c r="J25" s="3" t="s">
        <v>186</v>
      </c>
      <c r="K25" s="3" t="s">
        <v>100</v>
      </c>
      <c r="L25" s="3" t="s">
        <v>101</v>
      </c>
    </row>
    <row r="26" spans="1:12" x14ac:dyDescent="0.25">
      <c r="A26" s="130" t="s">
        <v>39</v>
      </c>
      <c r="B26" s="131"/>
      <c r="C26" s="131"/>
      <c r="D26" s="131"/>
      <c r="E26" s="132"/>
      <c r="F26" s="35">
        <f>'[1]SAŽETAK-KN'!F26*7.5345</f>
        <v>0</v>
      </c>
      <c r="G26" s="35">
        <f>'[1]SAŽETAK-KN'!G26*7.5345</f>
        <v>0</v>
      </c>
      <c r="H26" s="35">
        <f>'[1]SAŽETAK-KN'!H26*7.5345</f>
        <v>0</v>
      </c>
      <c r="I26" s="35">
        <v>0</v>
      </c>
      <c r="J26" s="35">
        <v>0</v>
      </c>
      <c r="K26" s="35">
        <f>'[1]SAŽETAK-KN'!I26*7.5345</f>
        <v>0</v>
      </c>
      <c r="L26" s="48">
        <f>'[1]SAŽETAK-KN'!J26*7.5345</f>
        <v>0</v>
      </c>
    </row>
    <row r="27" spans="1:12" ht="30" customHeight="1" x14ac:dyDescent="0.25">
      <c r="A27" s="133" t="s">
        <v>7</v>
      </c>
      <c r="B27" s="134"/>
      <c r="C27" s="134"/>
      <c r="D27" s="134"/>
      <c r="E27" s="135"/>
      <c r="F27" s="49">
        <f>'[1]SAŽETAK-KN'!F27/7.5345</f>
        <v>72342.999535470182</v>
      </c>
      <c r="G27" s="49">
        <f>'[1]SAŽETAK-KN'!G27/7.5345</f>
        <v>68204.001592673696</v>
      </c>
      <c r="H27" s="49">
        <f>'[1]SAŽETAK-KN'!H27/7.5345</f>
        <v>10000</v>
      </c>
      <c r="I27" s="49">
        <f>J27-H27</f>
        <v>8827.7799999999988</v>
      </c>
      <c r="J27" s="49">
        <v>18827.78</v>
      </c>
      <c r="K27" s="49">
        <f>'[1]SAŽETAK-KN'!I27/7.5345</f>
        <v>0</v>
      </c>
      <c r="L27" s="47">
        <f>'[1]SAŽETAK-KN'!J27/7.5345</f>
        <v>0</v>
      </c>
    </row>
    <row r="28" spans="1:12" x14ac:dyDescent="0.25">
      <c r="F28" s="50"/>
      <c r="G28" s="50"/>
      <c r="H28" s="50"/>
      <c r="I28" s="50"/>
      <c r="J28" s="50"/>
      <c r="K28" s="50"/>
      <c r="L28" s="50"/>
    </row>
    <row r="29" spans="1:12" x14ac:dyDescent="0.25">
      <c r="F29" s="50"/>
      <c r="G29" s="50"/>
      <c r="H29" s="50"/>
      <c r="I29" s="50"/>
      <c r="J29" s="50"/>
      <c r="K29" s="50"/>
      <c r="L29" s="50"/>
    </row>
    <row r="30" spans="1:12" x14ac:dyDescent="0.25">
      <c r="A30" s="123" t="s">
        <v>11</v>
      </c>
      <c r="B30" s="114"/>
      <c r="C30" s="114"/>
      <c r="D30" s="114"/>
      <c r="E30" s="114"/>
      <c r="F30" s="46">
        <f>'[1]SAŽETAK-KN'!F30/7.5345</f>
        <v>79776.001061782474</v>
      </c>
      <c r="G30" s="46">
        <f>'[1]SAŽETAK-KN'!G30/7.5345</f>
        <v>68204.001592673696</v>
      </c>
      <c r="H30" s="46">
        <f>'[1]SAŽETAK-KN'!H30/7.5345</f>
        <v>10000</v>
      </c>
      <c r="I30" s="46">
        <f>J30-H30</f>
        <v>8827.7799999999988</v>
      </c>
      <c r="J30" s="46">
        <v>18827.78</v>
      </c>
      <c r="K30" s="46">
        <f>'[1]SAŽETAK-KN'!I30/7.5345</f>
        <v>0</v>
      </c>
      <c r="L30" s="46">
        <f>'[1]SAŽETAK-KN'!J30/7.5345</f>
        <v>0</v>
      </c>
    </row>
    <row r="31" spans="1:12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  <c r="K31" s="20"/>
      <c r="L31" s="20"/>
    </row>
    <row r="32" spans="1:12" ht="29.25" customHeight="1" x14ac:dyDescent="0.25">
      <c r="A32" s="128" t="s">
        <v>40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4" spans="1:10" x14ac:dyDescent="0.25">
      <c r="A34" s="112" t="s">
        <v>90</v>
      </c>
      <c r="B34" s="112"/>
      <c r="C34" s="112"/>
      <c r="H34" s="44" t="s">
        <v>98</v>
      </c>
      <c r="I34" s="44"/>
      <c r="J34" s="44"/>
    </row>
    <row r="35" spans="1:10" x14ac:dyDescent="0.25">
      <c r="A35" s="42" t="s">
        <v>91</v>
      </c>
      <c r="B35" s="43"/>
      <c r="C35" s="43"/>
      <c r="H35" s="54" t="s">
        <v>185</v>
      </c>
      <c r="I35" s="54"/>
      <c r="J35" s="54"/>
    </row>
    <row r="36" spans="1:10" x14ac:dyDescent="0.25">
      <c r="A36" s="112" t="s">
        <v>158</v>
      </c>
      <c r="B36" s="112"/>
      <c r="C36" s="112"/>
    </row>
  </sheetData>
  <mergeCells count="21">
    <mergeCell ref="A21:E21"/>
    <mergeCell ref="A23:L23"/>
    <mergeCell ref="A26:E26"/>
    <mergeCell ref="A27:E27"/>
    <mergeCell ref="A30:E30"/>
    <mergeCell ref="A2:B2"/>
    <mergeCell ref="A34:C34"/>
    <mergeCell ref="A36:C36"/>
    <mergeCell ref="A20:E20"/>
    <mergeCell ref="A1:L1"/>
    <mergeCell ref="A3:L3"/>
    <mergeCell ref="A5:L5"/>
    <mergeCell ref="A8:E8"/>
    <mergeCell ref="A9:E9"/>
    <mergeCell ref="A10:E10"/>
    <mergeCell ref="A12:E12"/>
    <mergeCell ref="A13:E13"/>
    <mergeCell ref="A14:E14"/>
    <mergeCell ref="A16:L16"/>
    <mergeCell ref="A19:E19"/>
    <mergeCell ref="A32:L3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55" zoomScale="112" zoomScaleNormal="112" workbookViewId="0">
      <selection activeCell="E6" sqref="E1:K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28515625" bestFit="1" customWidth="1"/>
    <col min="4" max="4" width="25.28515625" customWidth="1"/>
    <col min="5" max="6" width="15.7109375" style="39" customWidth="1"/>
    <col min="7" max="11" width="15.7109375" customWidth="1"/>
  </cols>
  <sheetData>
    <row r="1" spans="1:12" ht="42" customHeight="1" x14ac:dyDescent="0.25">
      <c r="A1" s="115" t="s">
        <v>187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8" customHeight="1" x14ac:dyDescent="0.25">
      <c r="A2" s="111" t="s">
        <v>165</v>
      </c>
      <c r="B2" s="111"/>
      <c r="C2" s="111"/>
      <c r="D2" s="26"/>
      <c r="E2" s="40"/>
      <c r="F2" s="40"/>
      <c r="G2" s="26"/>
      <c r="H2" s="26"/>
      <c r="I2" s="26"/>
      <c r="J2" s="26"/>
      <c r="K2" s="26"/>
    </row>
    <row r="3" spans="1:12" ht="15.75" x14ac:dyDescent="0.25">
      <c r="A3" s="115" t="s">
        <v>27</v>
      </c>
      <c r="B3" s="115"/>
      <c r="C3" s="115"/>
      <c r="D3" s="115"/>
      <c r="E3" s="115"/>
      <c r="F3" s="115"/>
      <c r="G3" s="115"/>
      <c r="H3" s="115"/>
      <c r="I3" s="115"/>
      <c r="J3" s="116"/>
      <c r="K3" s="116"/>
    </row>
    <row r="4" spans="1:12" ht="18" x14ac:dyDescent="0.25">
      <c r="A4" s="26"/>
      <c r="B4" s="26"/>
      <c r="C4" s="26"/>
      <c r="D4" s="26"/>
      <c r="E4" s="40"/>
      <c r="F4" s="40"/>
      <c r="G4" s="26"/>
      <c r="H4" s="26"/>
      <c r="I4" s="26"/>
      <c r="J4" s="5"/>
      <c r="K4" s="5"/>
    </row>
    <row r="5" spans="1:12" ht="18" customHeight="1" x14ac:dyDescent="0.25">
      <c r="A5" s="115" t="s">
        <v>14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2" ht="18" x14ac:dyDescent="0.25">
      <c r="A6" s="26"/>
      <c r="B6" s="26"/>
      <c r="C6" s="26"/>
      <c r="D6" s="26"/>
      <c r="E6" s="66"/>
      <c r="F6" s="66"/>
      <c r="G6" s="66"/>
      <c r="H6" s="66"/>
      <c r="I6" s="110"/>
      <c r="J6" s="108"/>
      <c r="K6" s="5"/>
    </row>
    <row r="7" spans="1:12" ht="15.75" x14ac:dyDescent="0.25">
      <c r="A7" s="115" t="s">
        <v>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2" ht="18" x14ac:dyDescent="0.25">
      <c r="A8" s="26"/>
      <c r="B8" s="26"/>
      <c r="C8" s="26"/>
      <c r="D8" s="26"/>
      <c r="E8" s="66"/>
      <c r="F8" s="66"/>
      <c r="G8" s="67"/>
      <c r="H8" s="67"/>
      <c r="I8" s="51"/>
      <c r="J8" s="108"/>
      <c r="K8" s="5"/>
    </row>
    <row r="9" spans="1:12" ht="25.5" x14ac:dyDescent="0.25">
      <c r="A9" s="22" t="s">
        <v>15</v>
      </c>
      <c r="B9" s="21" t="s">
        <v>16</v>
      </c>
      <c r="C9" s="21" t="s">
        <v>17</v>
      </c>
      <c r="D9" s="21" t="s">
        <v>148</v>
      </c>
      <c r="E9" s="60" t="s">
        <v>12</v>
      </c>
      <c r="F9" s="41" t="s">
        <v>13</v>
      </c>
      <c r="G9" s="22" t="s">
        <v>41</v>
      </c>
      <c r="H9" s="22" t="s">
        <v>155</v>
      </c>
      <c r="I9" s="22" t="s">
        <v>186</v>
      </c>
      <c r="J9" s="22" t="s">
        <v>42</v>
      </c>
      <c r="K9" s="22" t="s">
        <v>43</v>
      </c>
    </row>
    <row r="10" spans="1:12" ht="15.75" customHeight="1" x14ac:dyDescent="0.25">
      <c r="A10" s="10"/>
      <c r="B10" s="10"/>
      <c r="C10" s="10"/>
      <c r="D10" s="10" t="s">
        <v>137</v>
      </c>
      <c r="E10" s="102">
        <f>SUM(E11,E30,E32)</f>
        <v>1138097.3448802177</v>
      </c>
      <c r="F10" s="102">
        <f>SUM(F11,F30,F32)</f>
        <v>1005672</v>
      </c>
      <c r="G10" s="102">
        <f>SUM(G11,G30,G32)</f>
        <v>1011532.53</v>
      </c>
      <c r="H10" s="102">
        <f>I10-G10</f>
        <v>519624.04999999981</v>
      </c>
      <c r="I10" s="102">
        <f>SUM(I11,I30,I32)</f>
        <v>1531156.5799999998</v>
      </c>
      <c r="J10" s="102">
        <f>SUM(J11,J30,J32)</f>
        <v>1506238.9799999997</v>
      </c>
      <c r="K10" s="102">
        <f>SUM(K11,K30,K32)</f>
        <v>1506238.9799999997</v>
      </c>
    </row>
    <row r="11" spans="1:12" ht="15.75" customHeight="1" x14ac:dyDescent="0.25">
      <c r="A11" s="10">
        <v>6</v>
      </c>
      <c r="B11" s="10"/>
      <c r="C11" s="10"/>
      <c r="D11" s="10" t="s">
        <v>147</v>
      </c>
      <c r="E11" s="102">
        <f>SUM(E12,E18,E20,E22,E25)</f>
        <v>1058179.3448802177</v>
      </c>
      <c r="F11" s="102">
        <f>SUM(F12,F18,F20,F22,F25)</f>
        <v>937335</v>
      </c>
      <c r="G11" s="102">
        <f>SUM(G12,G18,G20,G22,G25)</f>
        <v>1001532.53</v>
      </c>
      <c r="H11" s="102">
        <f t="shared" ref="H11:H32" si="0">I11-G11</f>
        <v>510796.26999999979</v>
      </c>
      <c r="I11" s="102">
        <f>SUM(I12,I18,I20,I22,I25)</f>
        <v>1512328.7999999998</v>
      </c>
      <c r="J11" s="102">
        <f>SUM(J12,J18,J20,J22,J25)</f>
        <v>1506238.9799999997</v>
      </c>
      <c r="K11" s="102">
        <f>SUM(K12,K18,K20,K22,K25)</f>
        <v>1506238.9799999997</v>
      </c>
    </row>
    <row r="12" spans="1:12" ht="38.25" x14ac:dyDescent="0.25">
      <c r="A12" s="10"/>
      <c r="B12" s="15">
        <v>63</v>
      </c>
      <c r="C12" s="15"/>
      <c r="D12" s="15" t="s">
        <v>146</v>
      </c>
      <c r="E12" s="102">
        <f>SUM(E13:E16)</f>
        <v>827256</v>
      </c>
      <c r="F12" s="102">
        <f>SUM(F13:F15)</f>
        <v>789786</v>
      </c>
      <c r="G12" s="102">
        <f>SUM(G13:G15)</f>
        <v>836073.53</v>
      </c>
      <c r="H12" s="102">
        <f t="shared" si="0"/>
        <v>493265.09000000008</v>
      </c>
      <c r="I12" s="102">
        <f>I13+I14+I15+I16+I17</f>
        <v>1329338.6200000001</v>
      </c>
      <c r="J12" s="102">
        <f>J13+J14+J15+J16+J17</f>
        <v>1325546.8799999999</v>
      </c>
      <c r="K12" s="102">
        <f>K13+K14+K15+K16+K17</f>
        <v>1325546.8799999999</v>
      </c>
    </row>
    <row r="13" spans="1:12" s="38" customFormat="1" ht="25.5" x14ac:dyDescent="0.25">
      <c r="A13" s="12"/>
      <c r="B13" s="12"/>
      <c r="C13" s="12">
        <v>51999</v>
      </c>
      <c r="D13" s="17" t="s">
        <v>136</v>
      </c>
      <c r="E13" s="106">
        <v>0</v>
      </c>
      <c r="F13" s="106">
        <v>5182</v>
      </c>
      <c r="G13" s="106">
        <v>8096</v>
      </c>
      <c r="H13" s="102">
        <f t="shared" si="0"/>
        <v>-5376.9999999999991</v>
      </c>
      <c r="I13" s="106">
        <f>'POSEBNI DIO EUR'!N64-5831.19</f>
        <v>2719.0000000000009</v>
      </c>
      <c r="J13" s="106">
        <v>0</v>
      </c>
      <c r="K13" s="106">
        <v>0</v>
      </c>
    </row>
    <row r="14" spans="1:12" s="38" customFormat="1" ht="38.25" x14ac:dyDescent="0.25">
      <c r="A14" s="12"/>
      <c r="B14" s="12"/>
      <c r="C14" s="12">
        <v>53083</v>
      </c>
      <c r="D14" s="17" t="s">
        <v>84</v>
      </c>
      <c r="E14" s="106">
        <v>21668</v>
      </c>
      <c r="F14" s="106">
        <v>0</v>
      </c>
      <c r="G14" s="106">
        <v>5972.53</v>
      </c>
      <c r="H14" s="102">
        <f t="shared" si="0"/>
        <v>-5972.53</v>
      </c>
      <c r="I14" s="106">
        <f>'POSEBNI DIO EUR'!N69-3176.37</f>
        <v>0</v>
      </c>
      <c r="J14" s="106">
        <v>0</v>
      </c>
      <c r="K14" s="106">
        <v>0</v>
      </c>
    </row>
    <row r="15" spans="1:12" s="38" customFormat="1" ht="27.75" customHeight="1" x14ac:dyDescent="0.25">
      <c r="A15" s="57"/>
      <c r="B15" s="56"/>
      <c r="C15" s="56">
        <v>53082</v>
      </c>
      <c r="D15" s="56" t="s">
        <v>66</v>
      </c>
      <c r="E15" s="106">
        <v>802752</v>
      </c>
      <c r="F15" s="106">
        <v>784604</v>
      </c>
      <c r="G15" s="106">
        <v>822005</v>
      </c>
      <c r="H15" s="102">
        <f t="shared" si="0"/>
        <v>503535.30000000005</v>
      </c>
      <c r="I15" s="106">
        <f>'POSEBNI DIO EUR'!N31+'POSEBNI DIO EUR'!N54-483.16</f>
        <v>1325540.3</v>
      </c>
      <c r="J15" s="106">
        <f>'POSEBNI DIO EUR'!O31</f>
        <v>1325546.8799999999</v>
      </c>
      <c r="K15" s="106">
        <f>'POSEBNI DIO EUR'!P31</f>
        <v>1325546.8799999999</v>
      </c>
    </row>
    <row r="16" spans="1:12" s="38" customFormat="1" ht="27.75" customHeight="1" x14ac:dyDescent="0.25">
      <c r="A16" s="57"/>
      <c r="B16" s="56"/>
      <c r="C16" s="56">
        <v>53086</v>
      </c>
      <c r="D16" s="56" t="s">
        <v>151</v>
      </c>
      <c r="E16" s="106">
        <v>2836</v>
      </c>
      <c r="F16" s="106">
        <v>0</v>
      </c>
      <c r="G16" s="106">
        <v>0</v>
      </c>
      <c r="H16" s="102">
        <f t="shared" si="0"/>
        <v>0</v>
      </c>
      <c r="I16" s="106">
        <v>0</v>
      </c>
      <c r="J16" s="106">
        <v>0</v>
      </c>
      <c r="K16" s="106">
        <v>0</v>
      </c>
    </row>
    <row r="17" spans="1:11" s="38" customFormat="1" ht="27.75" customHeight="1" x14ac:dyDescent="0.25">
      <c r="A17" s="57"/>
      <c r="B17" s="56"/>
      <c r="C17" s="56">
        <v>53102</v>
      </c>
      <c r="D17" s="56" t="s">
        <v>162</v>
      </c>
      <c r="E17" s="106">
        <v>0</v>
      </c>
      <c r="F17" s="106">
        <v>0</v>
      </c>
      <c r="G17" s="106">
        <v>0</v>
      </c>
      <c r="H17" s="102">
        <f t="shared" si="0"/>
        <v>1079.32</v>
      </c>
      <c r="I17" s="106">
        <v>1079.32</v>
      </c>
      <c r="J17" s="106">
        <v>0</v>
      </c>
      <c r="K17" s="106">
        <v>0</v>
      </c>
    </row>
    <row r="18" spans="1:11" x14ac:dyDescent="0.25">
      <c r="A18" s="11"/>
      <c r="B18" s="11">
        <v>64</v>
      </c>
      <c r="C18" s="12"/>
      <c r="D18" s="11" t="s">
        <v>145</v>
      </c>
      <c r="E18" s="102">
        <f>SUM(E19)</f>
        <v>1</v>
      </c>
      <c r="F18" s="102">
        <f>SUM(F19)</f>
        <v>1</v>
      </c>
      <c r="G18" s="102">
        <f>SUM(G19)</f>
        <v>1</v>
      </c>
      <c r="H18" s="102">
        <f t="shared" si="0"/>
        <v>-0.33999999999999997</v>
      </c>
      <c r="I18" s="102">
        <v>0.66</v>
      </c>
      <c r="J18" s="102">
        <v>0.66</v>
      </c>
      <c r="K18" s="102">
        <v>0.66</v>
      </c>
    </row>
    <row r="19" spans="1:11" s="62" customFormat="1" x14ac:dyDescent="0.25">
      <c r="A19" s="12"/>
      <c r="B19" s="12"/>
      <c r="C19" s="12">
        <v>32400</v>
      </c>
      <c r="D19" s="12" t="s">
        <v>61</v>
      </c>
      <c r="E19" s="106">
        <v>1</v>
      </c>
      <c r="F19" s="106">
        <v>1</v>
      </c>
      <c r="G19" s="106">
        <v>1</v>
      </c>
      <c r="H19" s="102">
        <f t="shared" si="0"/>
        <v>-0.33999999999999997</v>
      </c>
      <c r="I19" s="106">
        <v>0.66</v>
      </c>
      <c r="J19" s="106">
        <v>0.66</v>
      </c>
      <c r="K19" s="106">
        <v>0.66</v>
      </c>
    </row>
    <row r="20" spans="1:11" ht="38.25" x14ac:dyDescent="0.25">
      <c r="A20" s="11"/>
      <c r="B20" s="11">
        <v>65</v>
      </c>
      <c r="C20" s="12"/>
      <c r="D20" s="63" t="s">
        <v>144</v>
      </c>
      <c r="E20" s="102">
        <f>SUM(E21)</f>
        <v>4440</v>
      </c>
      <c r="F20" s="102">
        <f>SUM(F21)</f>
        <v>4512</v>
      </c>
      <c r="G20" s="102">
        <f>SUM(G21)</f>
        <v>10769</v>
      </c>
      <c r="H20" s="102">
        <f t="shared" si="0"/>
        <v>2898.6799999999985</v>
      </c>
      <c r="I20" s="102">
        <f>I21</f>
        <v>13667.679999999998</v>
      </c>
      <c r="J20" s="102">
        <f>J21</f>
        <v>14160</v>
      </c>
      <c r="K20" s="102">
        <f>K21</f>
        <v>14160</v>
      </c>
    </row>
    <row r="21" spans="1:11" s="62" customFormat="1" ht="25.5" x14ac:dyDescent="0.25">
      <c r="A21" s="12"/>
      <c r="B21" s="12"/>
      <c r="C21" s="12">
        <v>47400</v>
      </c>
      <c r="D21" s="17" t="s">
        <v>63</v>
      </c>
      <c r="E21" s="106">
        <v>4440</v>
      </c>
      <c r="F21" s="106">
        <v>4512</v>
      </c>
      <c r="G21" s="106">
        <v>10769</v>
      </c>
      <c r="H21" s="102">
        <f t="shared" si="0"/>
        <v>2898.6799999999985</v>
      </c>
      <c r="I21" s="106">
        <f>'POSEBNI DIO EUR'!N109+'POSEBNI DIO EUR'!N23-8880.74-456.32</f>
        <v>13667.679999999998</v>
      </c>
      <c r="J21" s="106">
        <v>14160</v>
      </c>
      <c r="K21" s="106">
        <v>14160</v>
      </c>
    </row>
    <row r="22" spans="1:11" ht="38.25" x14ac:dyDescent="0.25">
      <c r="A22" s="11"/>
      <c r="B22" s="11">
        <v>66</v>
      </c>
      <c r="C22" s="12"/>
      <c r="D22" s="63" t="s">
        <v>143</v>
      </c>
      <c r="E22" s="102">
        <f>SUM(E23:E24)</f>
        <v>8538</v>
      </c>
      <c r="F22" s="102">
        <f>SUM(F23:F24)</f>
        <v>1115</v>
      </c>
      <c r="G22" s="102">
        <f>SUM(G23:G24)</f>
        <v>23029</v>
      </c>
      <c r="H22" s="102">
        <f t="shared" si="0"/>
        <v>1593.7000000000007</v>
      </c>
      <c r="I22" s="102">
        <f>I23+I24</f>
        <v>24622.7</v>
      </c>
      <c r="J22" s="102">
        <f>J23+J24</f>
        <v>23616.7</v>
      </c>
      <c r="K22" s="102">
        <f>SUM(K23:K24)</f>
        <v>23616.7</v>
      </c>
    </row>
    <row r="23" spans="1:11" s="38" customFormat="1" ht="25.5" x14ac:dyDescent="0.25">
      <c r="A23" s="12"/>
      <c r="B23" s="12"/>
      <c r="C23" s="12">
        <v>32400</v>
      </c>
      <c r="D23" s="17" t="s">
        <v>61</v>
      </c>
      <c r="E23" s="106">
        <v>8455</v>
      </c>
      <c r="F23" s="106">
        <v>1115</v>
      </c>
      <c r="G23" s="106">
        <v>23029</v>
      </c>
      <c r="H23" s="102">
        <f t="shared" si="0"/>
        <v>587.70000000000073</v>
      </c>
      <c r="I23" s="106">
        <f>'POSEBNI DIO EUR'!N19+'POSEBNI DIO EUR'!N56</f>
        <v>23616.7</v>
      </c>
      <c r="J23" s="106">
        <v>23616.7</v>
      </c>
      <c r="K23" s="106">
        <v>23616.7</v>
      </c>
    </row>
    <row r="24" spans="1:11" s="62" customFormat="1" x14ac:dyDescent="0.25">
      <c r="A24" s="12"/>
      <c r="B24" s="12"/>
      <c r="C24" s="12">
        <v>62400</v>
      </c>
      <c r="D24" s="12" t="s">
        <v>133</v>
      </c>
      <c r="E24" s="106">
        <v>83</v>
      </c>
      <c r="F24" s="106">
        <v>0</v>
      </c>
      <c r="G24" s="106">
        <v>0</v>
      </c>
      <c r="H24" s="102">
        <f t="shared" si="0"/>
        <v>1006</v>
      </c>
      <c r="I24" s="106">
        <v>1006</v>
      </c>
      <c r="J24" s="106">
        <v>0</v>
      </c>
      <c r="K24" s="106">
        <v>0</v>
      </c>
    </row>
    <row r="25" spans="1:11" ht="38.25" x14ac:dyDescent="0.25">
      <c r="A25" s="11"/>
      <c r="B25" s="11">
        <v>67</v>
      </c>
      <c r="C25" s="12"/>
      <c r="D25" s="15" t="s">
        <v>142</v>
      </c>
      <c r="E25" s="102">
        <f>SUM(E26:E29)</f>
        <v>217944.34488021766</v>
      </c>
      <c r="F25" s="102">
        <f>SUM(F26:F29)</f>
        <v>141921</v>
      </c>
      <c r="G25" s="102">
        <f>SUM(G26:G29)</f>
        <v>131660</v>
      </c>
      <c r="H25" s="102">
        <f t="shared" si="0"/>
        <v>13039.140000000014</v>
      </c>
      <c r="I25" s="102">
        <f>SUM(I26:I29)</f>
        <v>144699.14000000001</v>
      </c>
      <c r="J25" s="102">
        <f>SUM(J26:J29)</f>
        <v>142914.74</v>
      </c>
      <c r="K25" s="102">
        <f>SUM(K26:K29)</f>
        <v>142914.74</v>
      </c>
    </row>
    <row r="26" spans="1:11" s="38" customFormat="1" ht="16.5" customHeight="1" x14ac:dyDescent="0.25">
      <c r="A26" s="12"/>
      <c r="B26" s="12"/>
      <c r="C26" s="56">
        <v>11001</v>
      </c>
      <c r="D26" s="56" t="s">
        <v>76</v>
      </c>
      <c r="E26" s="106">
        <f>E40+E48+E69</f>
        <v>5338.3448802176654</v>
      </c>
      <c r="F26" s="106">
        <v>27422</v>
      </c>
      <c r="G26" s="106">
        <v>27041</v>
      </c>
      <c r="H26" s="102">
        <f t="shared" si="0"/>
        <v>8299.1699999999983</v>
      </c>
      <c r="I26" s="106">
        <f>'POSEBNI DIO EUR'!N40+'POSEBNI DIO EUR'!N74+'POSEBNI DIO EUR'!N116+'POSEBNI DIO EUR'!N121</f>
        <v>35340.17</v>
      </c>
      <c r="J26" s="106">
        <f>'POSEBNI DIO EUR'!O40+'POSEBNI DIO EUR'!O74+'POSEBNI DIO EUR'!O116+'POSEBNI DIO EUR'!O121</f>
        <v>35340.17</v>
      </c>
      <c r="K26" s="106">
        <f>'POSEBNI DIO EUR'!P40+'POSEBNI DIO EUR'!P74+'POSEBNI DIO EUR'!P116+'POSEBNI DIO EUR'!P121</f>
        <v>35340.17</v>
      </c>
    </row>
    <row r="27" spans="1:11" s="38" customFormat="1" ht="25.5" x14ac:dyDescent="0.25">
      <c r="A27" s="12"/>
      <c r="B27" s="12"/>
      <c r="C27" s="12">
        <v>48007</v>
      </c>
      <c r="D27" s="17" t="s">
        <v>57</v>
      </c>
      <c r="E27" s="106">
        <v>211292</v>
      </c>
      <c r="F27" s="106">
        <v>114499</v>
      </c>
      <c r="G27" s="106">
        <v>95490</v>
      </c>
      <c r="H27" s="102">
        <f t="shared" si="0"/>
        <v>4739.9700000000012</v>
      </c>
      <c r="I27" s="106">
        <f>'POSEBNI DIO EUR'!N10+'POSEBNI DIO EUR'!N15+'POSEBNI DIO EUR'!N93</f>
        <v>100229.97</v>
      </c>
      <c r="J27" s="106">
        <f>'POSEBNI DIO EUR'!O10+'POSEBNI DIO EUR'!O15+'POSEBNI DIO EUR'!O93</f>
        <v>98445.57</v>
      </c>
      <c r="K27" s="106">
        <f>'POSEBNI DIO EUR'!P10+'POSEBNI DIO EUR'!P15+'POSEBNI DIO EUR'!P93</f>
        <v>98445.57</v>
      </c>
    </row>
    <row r="28" spans="1:11" s="38" customFormat="1" ht="25.5" x14ac:dyDescent="0.25">
      <c r="A28" s="12"/>
      <c r="B28" s="12"/>
      <c r="C28" s="12">
        <v>48008</v>
      </c>
      <c r="D28" s="17" t="s">
        <v>134</v>
      </c>
      <c r="E28" s="106">
        <v>1314</v>
      </c>
      <c r="F28" s="106">
        <v>0</v>
      </c>
      <c r="G28" s="106">
        <v>0</v>
      </c>
      <c r="H28" s="102">
        <f t="shared" si="0"/>
        <v>0</v>
      </c>
      <c r="I28" s="106">
        <v>0</v>
      </c>
      <c r="J28" s="106">
        <v>0</v>
      </c>
      <c r="K28" s="106">
        <v>0</v>
      </c>
    </row>
    <row r="29" spans="1:11" s="62" customFormat="1" x14ac:dyDescent="0.25">
      <c r="A29" s="12"/>
      <c r="B29" s="12"/>
      <c r="C29" s="56">
        <v>51100</v>
      </c>
      <c r="D29" s="56" t="s">
        <v>82</v>
      </c>
      <c r="E29" s="106">
        <v>0</v>
      </c>
      <c r="F29" s="106">
        <v>0</v>
      </c>
      <c r="G29" s="106">
        <v>9129</v>
      </c>
      <c r="H29" s="102">
        <f t="shared" si="0"/>
        <v>0</v>
      </c>
      <c r="I29" s="106">
        <f>'POSEBNI DIO EUR'!N124</f>
        <v>9129</v>
      </c>
      <c r="J29" s="106">
        <f>'POSEBNI DIO EUR'!O124</f>
        <v>9129</v>
      </c>
      <c r="K29" s="106">
        <f>'POSEBNI DIO EUR'!P124</f>
        <v>9129</v>
      </c>
    </row>
    <row r="30" spans="1:11" ht="25.5" x14ac:dyDescent="0.25">
      <c r="A30" s="13">
        <v>7</v>
      </c>
      <c r="B30" s="14"/>
      <c r="C30" s="14"/>
      <c r="D30" s="27" t="s">
        <v>141</v>
      </c>
      <c r="E30" s="102">
        <f>SUM(E31)</f>
        <v>142</v>
      </c>
      <c r="F30" s="102">
        <f>SUM(F31)</f>
        <v>133</v>
      </c>
      <c r="G30" s="102">
        <f>SUM(G31)</f>
        <v>0</v>
      </c>
      <c r="H30" s="102">
        <f t="shared" si="0"/>
        <v>0</v>
      </c>
      <c r="I30" s="102">
        <v>0</v>
      </c>
      <c r="J30" s="102">
        <v>0</v>
      </c>
      <c r="K30" s="102">
        <f>SUM(K31)</f>
        <v>0</v>
      </c>
    </row>
    <row r="31" spans="1:11" s="59" customFormat="1" ht="38.25" x14ac:dyDescent="0.25">
      <c r="A31" s="16"/>
      <c r="B31" s="61">
        <v>71</v>
      </c>
      <c r="C31" s="61"/>
      <c r="D31" s="28" t="s">
        <v>140</v>
      </c>
      <c r="E31" s="102">
        <v>142</v>
      </c>
      <c r="F31" s="102">
        <v>133</v>
      </c>
      <c r="G31" s="102">
        <v>0</v>
      </c>
      <c r="H31" s="102">
        <f t="shared" si="0"/>
        <v>0</v>
      </c>
      <c r="I31" s="102">
        <f>483.16-483.16</f>
        <v>0</v>
      </c>
      <c r="J31" s="102">
        <v>0</v>
      </c>
      <c r="K31" s="102">
        <v>0</v>
      </c>
    </row>
    <row r="32" spans="1:11" s="59" customFormat="1" x14ac:dyDescent="0.25">
      <c r="A32" s="16">
        <v>9</v>
      </c>
      <c r="B32" s="61"/>
      <c r="C32" s="61"/>
      <c r="D32" s="28" t="s">
        <v>152</v>
      </c>
      <c r="E32" s="109">
        <v>79776</v>
      </c>
      <c r="F32" s="109">
        <v>68204</v>
      </c>
      <c r="G32" s="109">
        <v>10000</v>
      </c>
      <c r="H32" s="102">
        <f t="shared" si="0"/>
        <v>8827.7799999999988</v>
      </c>
      <c r="I32" s="109">
        <v>18827.78</v>
      </c>
      <c r="J32" s="109">
        <v>0</v>
      </c>
      <c r="K32" s="109">
        <v>0</v>
      </c>
    </row>
    <row r="34" spans="1:11" ht="15.75" x14ac:dyDescent="0.25">
      <c r="A34" s="115" t="s">
        <v>139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</row>
    <row r="35" spans="1:11" ht="18" x14ac:dyDescent="0.25">
      <c r="A35" s="26"/>
      <c r="B35" s="26"/>
      <c r="C35" s="26"/>
      <c r="D35" s="26"/>
      <c r="E35" s="40"/>
      <c r="F35" s="40"/>
      <c r="G35" s="26"/>
      <c r="H35" s="26"/>
      <c r="I35" s="51"/>
      <c r="J35" s="108"/>
      <c r="K35" s="108"/>
    </row>
    <row r="36" spans="1:11" ht="25.5" x14ac:dyDescent="0.25">
      <c r="A36" s="22" t="s">
        <v>15</v>
      </c>
      <c r="B36" s="21" t="s">
        <v>16</v>
      </c>
      <c r="C36" s="21" t="s">
        <v>17</v>
      </c>
      <c r="D36" s="21" t="s">
        <v>138</v>
      </c>
      <c r="E36" s="60" t="s">
        <v>12</v>
      </c>
      <c r="F36" s="41" t="s">
        <v>13</v>
      </c>
      <c r="G36" s="22" t="s">
        <v>41</v>
      </c>
      <c r="H36" s="22" t="s">
        <v>155</v>
      </c>
      <c r="I36" s="22" t="s">
        <v>186</v>
      </c>
      <c r="J36" s="22" t="s">
        <v>42</v>
      </c>
      <c r="K36" s="22" t="s">
        <v>43</v>
      </c>
    </row>
    <row r="37" spans="1:11" ht="15.75" customHeight="1" x14ac:dyDescent="0.25">
      <c r="A37" s="10"/>
      <c r="B37" s="10"/>
      <c r="C37" s="10"/>
      <c r="D37" s="10" t="s">
        <v>137</v>
      </c>
      <c r="E37" s="102">
        <f>SUM(E38,E65)</f>
        <v>1130663.9350985466</v>
      </c>
      <c r="F37" s="102">
        <f>SUM(F38,F65)</f>
        <v>1005672.5097219457</v>
      </c>
      <c r="G37" s="102">
        <f>SUM(G38,G65)</f>
        <v>1011532.9956201473</v>
      </c>
      <c r="H37" s="102">
        <f>I37-G37</f>
        <v>519623.58437985252</v>
      </c>
      <c r="I37" s="102">
        <f>I38+I65</f>
        <v>1531156.5799999998</v>
      </c>
      <c r="J37" s="102">
        <f>J38+J65</f>
        <v>1506238.98</v>
      </c>
      <c r="K37" s="102">
        <f>SUM(K38,K65)</f>
        <v>1506238.98</v>
      </c>
    </row>
    <row r="38" spans="1:11" ht="15.75" customHeight="1" x14ac:dyDescent="0.25">
      <c r="A38" s="10">
        <v>3</v>
      </c>
      <c r="B38" s="10"/>
      <c r="C38" s="10"/>
      <c r="D38" s="10" t="s">
        <v>19</v>
      </c>
      <c r="E38" s="103">
        <f>SUM(E39,E47,E59)</f>
        <v>1086790.9350985466</v>
      </c>
      <c r="F38" s="103">
        <f>SUM(F39,F47,F59)</f>
        <v>994377.50972194574</v>
      </c>
      <c r="G38" s="103">
        <f>SUM(G39,G47,G59)</f>
        <v>1001763.9956201473</v>
      </c>
      <c r="H38" s="102">
        <f t="shared" ref="H38:H74" si="1">I38-G38</f>
        <v>518971.9243798526</v>
      </c>
      <c r="I38" s="103">
        <f>I39+I47+I59</f>
        <v>1520735.92</v>
      </c>
      <c r="J38" s="103">
        <f>J39+J47+J59</f>
        <v>1495818.32</v>
      </c>
      <c r="K38" s="103">
        <f>SUM(K39,K47,K59)</f>
        <v>1495818.32</v>
      </c>
    </row>
    <row r="39" spans="1:11" ht="15.75" customHeight="1" x14ac:dyDescent="0.25">
      <c r="A39" s="10"/>
      <c r="B39" s="10">
        <v>31</v>
      </c>
      <c r="C39" s="10"/>
      <c r="D39" s="10" t="s">
        <v>20</v>
      </c>
      <c r="E39" s="104">
        <f>SUM(E40:E46)</f>
        <v>868985.20412767923</v>
      </c>
      <c r="F39" s="104">
        <f>SUM(F40:F46)</f>
        <v>779839</v>
      </c>
      <c r="G39" s="104">
        <f>SUM(G40:G46)</f>
        <v>836181</v>
      </c>
      <c r="H39" s="102">
        <f t="shared" si="1"/>
        <v>495438.16999999993</v>
      </c>
      <c r="I39" s="104">
        <f>I40+I41+I42+I43+I44+I45+I46</f>
        <v>1331619.17</v>
      </c>
      <c r="J39" s="104">
        <f>J40+J41+J42+J43+J44+J45+J46</f>
        <v>1324879</v>
      </c>
      <c r="K39" s="104">
        <f>SUM(K40:K46)</f>
        <v>1324879</v>
      </c>
    </row>
    <row r="40" spans="1:11" s="38" customFormat="1" ht="15.75" customHeight="1" x14ac:dyDescent="0.25">
      <c r="A40" s="57"/>
      <c r="B40" s="56"/>
      <c r="C40" s="56">
        <v>11001</v>
      </c>
      <c r="D40" s="56" t="s">
        <v>76</v>
      </c>
      <c r="E40" s="105">
        <f>'POSEBNI DIO EUR'!J79+'POSEBNI DIO EUR'!J50</f>
        <v>655.65067356825261</v>
      </c>
      <c r="F40" s="106">
        <v>265</v>
      </c>
      <c r="G40" s="106">
        <v>1610</v>
      </c>
      <c r="H40" s="102">
        <f t="shared" si="1"/>
        <v>3400</v>
      </c>
      <c r="I40" s="106">
        <f>'POSEBNI DIO EUR'!N122</f>
        <v>5010</v>
      </c>
      <c r="J40" s="106">
        <f>'POSEBNI DIO EUR'!O122</f>
        <v>5010</v>
      </c>
      <c r="K40" s="106">
        <f>'POSEBNI DIO EUR'!P122</f>
        <v>5010</v>
      </c>
    </row>
    <row r="41" spans="1:11" s="38" customFormat="1" ht="15.75" customHeight="1" x14ac:dyDescent="0.25">
      <c r="A41" s="57"/>
      <c r="B41" s="56"/>
      <c r="C41" s="56">
        <v>51100</v>
      </c>
      <c r="D41" s="56" t="s">
        <v>82</v>
      </c>
      <c r="E41" s="106">
        <v>0</v>
      </c>
      <c r="F41" s="106">
        <v>0</v>
      </c>
      <c r="G41" s="106">
        <v>9129</v>
      </c>
      <c r="H41" s="102">
        <f t="shared" si="1"/>
        <v>-210</v>
      </c>
      <c r="I41" s="106">
        <f>'POSEBNI DIO EUR'!N125</f>
        <v>8919</v>
      </c>
      <c r="J41" s="106">
        <f>'POSEBNI DIO EUR'!O125</f>
        <v>8919</v>
      </c>
      <c r="K41" s="106">
        <f>'POSEBNI DIO EUR'!P125</f>
        <v>8919</v>
      </c>
    </row>
    <row r="42" spans="1:11" s="38" customFormat="1" ht="25.5" x14ac:dyDescent="0.25">
      <c r="A42" s="12"/>
      <c r="B42" s="12"/>
      <c r="C42" s="12">
        <v>51999</v>
      </c>
      <c r="D42" s="17" t="s">
        <v>136</v>
      </c>
      <c r="E42" s="106">
        <v>1261</v>
      </c>
      <c r="F42" s="106">
        <v>2813</v>
      </c>
      <c r="G42" s="106">
        <v>3318</v>
      </c>
      <c r="H42" s="102">
        <f t="shared" si="1"/>
        <v>1682.2799999999997</v>
      </c>
      <c r="I42" s="106">
        <f>'POSEBNI DIO EUR'!N65</f>
        <v>5000.28</v>
      </c>
      <c r="J42" s="106">
        <v>0</v>
      </c>
      <c r="K42" s="106">
        <v>0</v>
      </c>
    </row>
    <row r="43" spans="1:11" s="38" customFormat="1" ht="25.5" x14ac:dyDescent="0.25">
      <c r="A43" s="12"/>
      <c r="B43" s="12"/>
      <c r="C43" s="12">
        <v>32400</v>
      </c>
      <c r="D43" s="17" t="s">
        <v>61</v>
      </c>
      <c r="E43" s="106">
        <v>0</v>
      </c>
      <c r="F43" s="106">
        <v>0</v>
      </c>
      <c r="G43" s="106">
        <v>4778</v>
      </c>
      <c r="H43" s="102">
        <f t="shared" si="1"/>
        <v>5672</v>
      </c>
      <c r="I43" s="106">
        <f>'POSEBNI DIO EUR'!N59</f>
        <v>10450</v>
      </c>
      <c r="J43" s="106">
        <f>'POSEBNI DIO EUR'!O59</f>
        <v>10450</v>
      </c>
      <c r="K43" s="106">
        <f>'POSEBNI DIO EUR'!P59</f>
        <v>10450</v>
      </c>
    </row>
    <row r="44" spans="1:11" s="38" customFormat="1" ht="27.75" customHeight="1" x14ac:dyDescent="0.25">
      <c r="A44" s="57"/>
      <c r="B44" s="56"/>
      <c r="C44" s="56">
        <v>53082</v>
      </c>
      <c r="D44" s="56" t="s">
        <v>66</v>
      </c>
      <c r="E44" s="106">
        <f>'POSEBNI DIO EUR'!J32</f>
        <v>853120.55345411098</v>
      </c>
      <c r="F44" s="106">
        <v>775898</v>
      </c>
      <c r="G44" s="106">
        <v>814692</v>
      </c>
      <c r="H44" s="102">
        <f t="shared" si="1"/>
        <v>485808</v>
      </c>
      <c r="I44" s="106">
        <f>'POSEBNI DIO EUR'!N32</f>
        <v>1300500</v>
      </c>
      <c r="J44" s="106">
        <f>'POSEBNI DIO EUR'!O32</f>
        <v>1300500</v>
      </c>
      <c r="K44" s="106">
        <f>'POSEBNI DIO EUR'!P32</f>
        <v>1300500</v>
      </c>
    </row>
    <row r="45" spans="1:11" s="38" customFormat="1" ht="27.75" customHeight="1" x14ac:dyDescent="0.25">
      <c r="A45" s="57"/>
      <c r="B45" s="56"/>
      <c r="C45" s="56">
        <v>53083</v>
      </c>
      <c r="D45" s="56" t="s">
        <v>84</v>
      </c>
      <c r="E45" s="106">
        <v>0</v>
      </c>
      <c r="F45" s="106">
        <v>863</v>
      </c>
      <c r="G45" s="106">
        <v>2654</v>
      </c>
      <c r="H45" s="102">
        <f t="shared" si="1"/>
        <v>-914.1099999999999</v>
      </c>
      <c r="I45" s="106">
        <f>'POSEBNI DIO EUR'!N70</f>
        <v>1739.89</v>
      </c>
      <c r="J45" s="106">
        <v>0</v>
      </c>
      <c r="K45" s="106">
        <v>0</v>
      </c>
    </row>
    <row r="46" spans="1:11" s="38" customFormat="1" ht="27.75" customHeight="1" x14ac:dyDescent="0.25">
      <c r="A46" s="57"/>
      <c r="B46" s="56"/>
      <c r="C46" s="56">
        <v>53086</v>
      </c>
      <c r="D46" s="56" t="s">
        <v>149</v>
      </c>
      <c r="E46" s="106">
        <v>13948</v>
      </c>
      <c r="F46" s="106">
        <v>0</v>
      </c>
      <c r="G46" s="106">
        <v>0</v>
      </c>
      <c r="H46" s="102">
        <f t="shared" si="1"/>
        <v>0</v>
      </c>
      <c r="I46" s="106">
        <v>0</v>
      </c>
      <c r="J46" s="106">
        <v>0</v>
      </c>
      <c r="K46" s="106">
        <v>0</v>
      </c>
    </row>
    <row r="47" spans="1:11" x14ac:dyDescent="0.25">
      <c r="A47" s="11"/>
      <c r="B47" s="99">
        <v>32</v>
      </c>
      <c r="C47" s="100"/>
      <c r="D47" s="99" t="s">
        <v>30</v>
      </c>
      <c r="E47" s="104">
        <f>SUM(E48:E58)</f>
        <v>210028.78790895213</v>
      </c>
      <c r="F47" s="104">
        <f>SUM(F48:F58)</f>
        <v>212162.50972194571</v>
      </c>
      <c r="G47" s="104">
        <f>SUM(G48:G58)</f>
        <v>164814.99562014733</v>
      </c>
      <c r="H47" s="102">
        <f t="shared" si="1"/>
        <v>23438.484379852685</v>
      </c>
      <c r="I47" s="104">
        <f>I48+I49+I50+I51+I53+I54+I55+I56+I58+I57+I52</f>
        <v>188253.48</v>
      </c>
      <c r="J47" s="104">
        <f>J50+J48+J49+J51+J52+J53+J54+J55+J56+J57+J58</f>
        <v>170089.32</v>
      </c>
      <c r="K47" s="104">
        <f>SUM(K48:K58)</f>
        <v>170089.32</v>
      </c>
    </row>
    <row r="48" spans="1:11" s="38" customFormat="1" x14ac:dyDescent="0.25">
      <c r="A48" s="12"/>
      <c r="B48" s="12"/>
      <c r="C48" s="12">
        <v>11001</v>
      </c>
      <c r="D48" s="12" t="s">
        <v>76</v>
      </c>
      <c r="E48" s="106">
        <f>'POSEBNI DIO EUR'!J51+'POSEBNI DIO EUR'!J75+'POSEBNI DIO EUR'!J85+'POSEBNI DIO EUR'!J80</f>
        <v>4151.694206649413</v>
      </c>
      <c r="F48" s="106">
        <f>'POSEBNI DIO EUR'!K41+'POSEBNI DIO EUR'!K51+'POSEBNI DIO EUR'!K75+'POSEBNI DIO EUR'!K80+'POSEBNI DIO EUR'!K85</f>
        <v>27156.413829716636</v>
      </c>
      <c r="G48" s="106">
        <f>'POSEBNI DIO EUR'!L41+'POSEBNI DIO EUR'!L51+'POSEBNI DIO EUR'!L75</f>
        <v>25431.000066361401</v>
      </c>
      <c r="H48" s="102">
        <f t="shared" si="1"/>
        <v>4479.1699336385973</v>
      </c>
      <c r="I48" s="106">
        <f>'POSEBNI DIO EUR'!N41+'POSEBNI DIO EUR'!N75</f>
        <v>29910.17</v>
      </c>
      <c r="J48" s="106">
        <f>'POSEBNI DIO EUR'!O41+'POSEBNI DIO EUR'!O75</f>
        <v>29910.17</v>
      </c>
      <c r="K48" s="106">
        <f>'POSEBNI DIO EUR'!P41+'POSEBNI DIO EUR'!P51+'POSEBNI DIO EUR'!P75</f>
        <v>29910.17</v>
      </c>
    </row>
    <row r="49" spans="1:11" s="38" customFormat="1" x14ac:dyDescent="0.25">
      <c r="A49" s="12"/>
      <c r="B49" s="12"/>
      <c r="C49" s="12">
        <v>32400</v>
      </c>
      <c r="D49" s="12" t="s">
        <v>61</v>
      </c>
      <c r="E49" s="106">
        <v>1882</v>
      </c>
      <c r="F49" s="106">
        <v>2247</v>
      </c>
      <c r="G49" s="106">
        <f>'POSEBNI DIO EUR'!L20+'POSEBNI DIO EUR'!L60</f>
        <v>20187.139159864622</v>
      </c>
      <c r="H49" s="102">
        <f t="shared" si="1"/>
        <v>-7070.4391598646216</v>
      </c>
      <c r="I49" s="106">
        <f>'POSEBNI DIO EUR'!N20+'POSEBNI DIO EUR'!N60</f>
        <v>13116.7</v>
      </c>
      <c r="J49" s="106">
        <f>'POSEBNI DIO EUR'!O60+'POSEBNI DIO EUR'!O20</f>
        <v>13116.7</v>
      </c>
      <c r="K49" s="106">
        <f>'POSEBNI DIO EUR'!P20+'POSEBNI DIO EUR'!P60</f>
        <v>13116.7</v>
      </c>
    </row>
    <row r="50" spans="1:11" s="38" customFormat="1" ht="25.5" x14ac:dyDescent="0.25">
      <c r="A50" s="12"/>
      <c r="B50" s="12"/>
      <c r="C50" s="12">
        <v>47400</v>
      </c>
      <c r="D50" s="17" t="s">
        <v>63</v>
      </c>
      <c r="E50" s="106">
        <f>'POSEBNI DIO EUR'!J24</f>
        <v>3310.1732032649811</v>
      </c>
      <c r="F50" s="106">
        <f>'POSEBNI DIO EUR'!K24</f>
        <v>1327.2280841462605</v>
      </c>
      <c r="G50" s="106">
        <v>9025</v>
      </c>
      <c r="H50" s="102">
        <f t="shared" si="1"/>
        <v>3979.74</v>
      </c>
      <c r="I50" s="106">
        <f>'POSEBNI DIO EUR'!N24</f>
        <v>13004.74</v>
      </c>
      <c r="J50" s="106">
        <f>'POSEBNI DIO EUR'!O24</f>
        <v>4160</v>
      </c>
      <c r="K50" s="106">
        <f>'POSEBNI DIO EUR'!P24</f>
        <v>4160</v>
      </c>
    </row>
    <row r="51" spans="1:11" s="38" customFormat="1" ht="25.5" x14ac:dyDescent="0.25">
      <c r="A51" s="12"/>
      <c r="B51" s="12"/>
      <c r="C51" s="12">
        <v>48007</v>
      </c>
      <c r="D51" s="17" t="s">
        <v>57</v>
      </c>
      <c r="E51" s="106">
        <f>'POSEBNI DIO EUR'!J11+'POSEBNI DIO EUR'!J94+'POSEBNI DIO EUR'!J16</f>
        <v>174153.37713186009</v>
      </c>
      <c r="F51" s="106">
        <f>'POSEBNI DIO EUR'!K11+'POSEBNI DIO EUR'!K16+'POSEBNI DIO EUR'!K94</f>
        <v>112375.82454044727</v>
      </c>
      <c r="G51" s="106">
        <f>'POSEBNI DIO EUR'!L11+'POSEBNI DIO EUR'!L16</f>
        <v>94775.856393921291</v>
      </c>
      <c r="H51" s="102">
        <f t="shared" si="1"/>
        <v>4654.1136060787103</v>
      </c>
      <c r="I51" s="106">
        <f>'POSEBNI DIO EUR'!N11+'POSEBNI DIO EUR'!N16+'POSEBNI DIO EUR'!N94</f>
        <v>99429.97</v>
      </c>
      <c r="J51" s="106">
        <f>'POSEBNI DIO EUR'!O11+'POSEBNI DIO EUR'!O16</f>
        <v>97645.57</v>
      </c>
      <c r="K51" s="106">
        <v>97645.57</v>
      </c>
    </row>
    <row r="52" spans="1:11" s="38" customFormat="1" x14ac:dyDescent="0.25">
      <c r="A52" s="12"/>
      <c r="B52" s="12"/>
      <c r="C52" s="56">
        <v>51100</v>
      </c>
      <c r="D52" s="56" t="s">
        <v>82</v>
      </c>
      <c r="E52" s="106">
        <v>0</v>
      </c>
      <c r="F52" s="106">
        <v>0</v>
      </c>
      <c r="G52" s="106">
        <v>0</v>
      </c>
      <c r="H52" s="102">
        <f t="shared" si="1"/>
        <v>210</v>
      </c>
      <c r="I52" s="106">
        <v>210</v>
      </c>
      <c r="J52" s="106">
        <v>210</v>
      </c>
      <c r="K52" s="106">
        <v>210</v>
      </c>
    </row>
    <row r="53" spans="1:11" s="38" customFormat="1" ht="25.5" x14ac:dyDescent="0.25">
      <c r="A53" s="12"/>
      <c r="B53" s="12"/>
      <c r="C53" s="12">
        <v>51999</v>
      </c>
      <c r="D53" s="17" t="s">
        <v>136</v>
      </c>
      <c r="E53" s="106">
        <f>'POSEBNI DIO EUR'!J66</f>
        <v>5025.6340832172009</v>
      </c>
      <c r="F53" s="106">
        <f>'POSEBNI DIO EUR'!K66</f>
        <v>59499.369566660025</v>
      </c>
      <c r="G53" s="106">
        <v>3982</v>
      </c>
      <c r="H53" s="102">
        <f t="shared" si="1"/>
        <v>-432.09000000000015</v>
      </c>
      <c r="I53" s="106">
        <f>'POSEBNI DIO EUR'!N66</f>
        <v>3549.91</v>
      </c>
      <c r="J53" s="106">
        <v>0</v>
      </c>
      <c r="K53" s="106">
        <v>0</v>
      </c>
    </row>
    <row r="54" spans="1:11" s="38" customFormat="1" ht="38.25" x14ac:dyDescent="0.25">
      <c r="A54" s="12"/>
      <c r="B54" s="12"/>
      <c r="C54" s="12">
        <v>53082</v>
      </c>
      <c r="D54" s="56" t="s">
        <v>66</v>
      </c>
      <c r="E54" s="106">
        <f>'POSEBNI DIO EUR'!J55+'POSEBNI DIO EUR'!J33</f>
        <v>19378.978034375206</v>
      </c>
      <c r="F54" s="106">
        <v>7964</v>
      </c>
      <c r="G54" s="106">
        <v>7300</v>
      </c>
      <c r="H54" s="102">
        <f t="shared" si="1"/>
        <v>18210.190000000002</v>
      </c>
      <c r="I54" s="106">
        <f>'POSEBNI DIO EUR'!N55+'POSEBNI DIO EUR'!N33</f>
        <v>25510.190000000002</v>
      </c>
      <c r="J54" s="106">
        <f>'POSEBNI DIO EUR'!O55+'POSEBNI DIO EUR'!O33</f>
        <v>25046.880000000001</v>
      </c>
      <c r="K54" s="106">
        <f>'POSEBNI DIO EUR'!P55+'POSEBNI DIO EUR'!P33</f>
        <v>25046.880000000001</v>
      </c>
    </row>
    <row r="55" spans="1:11" s="38" customFormat="1" ht="38.25" x14ac:dyDescent="0.25">
      <c r="A55" s="57"/>
      <c r="B55" s="56"/>
      <c r="C55" s="56">
        <v>53083</v>
      </c>
      <c r="D55" s="55" t="s">
        <v>84</v>
      </c>
      <c r="E55" s="106">
        <f>'POSEBNI DIO EUR'!J71</f>
        <v>0</v>
      </c>
      <c r="F55" s="106">
        <f>'POSEBNI DIO EUR'!K71</f>
        <v>1592.6737009755125</v>
      </c>
      <c r="G55" s="106">
        <v>4114</v>
      </c>
      <c r="H55" s="102">
        <f t="shared" si="1"/>
        <v>-2677.52</v>
      </c>
      <c r="I55" s="106">
        <f>'POSEBNI DIO EUR'!N71</f>
        <v>1436.48</v>
      </c>
      <c r="J55" s="106">
        <v>0</v>
      </c>
      <c r="K55" s="106">
        <v>0</v>
      </c>
    </row>
    <row r="56" spans="1:11" s="38" customFormat="1" x14ac:dyDescent="0.25">
      <c r="A56" s="57"/>
      <c r="B56" s="56"/>
      <c r="C56" s="56">
        <v>53086</v>
      </c>
      <c r="D56" s="55" t="s">
        <v>149</v>
      </c>
      <c r="E56" s="106">
        <f>'POSEBNI DIO EUR'!J46</f>
        <v>2043.9312495852412</v>
      </c>
      <c r="F56" s="106">
        <v>0</v>
      </c>
      <c r="G56" s="106">
        <v>0</v>
      </c>
      <c r="H56" s="102">
        <f t="shared" si="1"/>
        <v>0</v>
      </c>
      <c r="I56" s="106">
        <v>0</v>
      </c>
      <c r="J56" s="106">
        <v>0</v>
      </c>
      <c r="K56" s="106">
        <v>0</v>
      </c>
    </row>
    <row r="57" spans="1:11" s="38" customFormat="1" x14ac:dyDescent="0.25">
      <c r="A57" s="57"/>
      <c r="B57" s="56"/>
      <c r="C57" s="56">
        <v>53102</v>
      </c>
      <c r="D57" s="55" t="s">
        <v>162</v>
      </c>
      <c r="E57" s="106">
        <v>0</v>
      </c>
      <c r="F57" s="106">
        <v>0</v>
      </c>
      <c r="G57" s="106">
        <v>0</v>
      </c>
      <c r="H57" s="102">
        <f t="shared" si="1"/>
        <v>1079.32</v>
      </c>
      <c r="I57" s="106">
        <v>1079.32</v>
      </c>
      <c r="J57" s="106">
        <v>0</v>
      </c>
      <c r="K57" s="106">
        <v>0</v>
      </c>
    </row>
    <row r="58" spans="1:11" s="38" customFormat="1" x14ac:dyDescent="0.25">
      <c r="A58" s="12"/>
      <c r="B58" s="12"/>
      <c r="C58" s="12">
        <v>62400</v>
      </c>
      <c r="D58" s="17" t="s">
        <v>133</v>
      </c>
      <c r="E58" s="106">
        <v>83</v>
      </c>
      <c r="F58" s="106">
        <v>0</v>
      </c>
      <c r="G58" s="106">
        <v>0</v>
      </c>
      <c r="H58" s="102">
        <f t="shared" si="1"/>
        <v>1006</v>
      </c>
      <c r="I58" s="106">
        <f>'POSEBNI DIO EUR'!N27</f>
        <v>1006</v>
      </c>
      <c r="J58" s="106">
        <v>0</v>
      </c>
      <c r="K58" s="106">
        <v>0</v>
      </c>
    </row>
    <row r="59" spans="1:11" s="59" customFormat="1" x14ac:dyDescent="0.25">
      <c r="A59" s="11"/>
      <c r="B59" s="99">
        <v>34</v>
      </c>
      <c r="C59" s="99"/>
      <c r="D59" s="99" t="s">
        <v>47</v>
      </c>
      <c r="E59" s="104">
        <f>SUM(E60:E64)</f>
        <v>7776.9430619151899</v>
      </c>
      <c r="F59" s="104">
        <f>SUM(F60:F64)</f>
        <v>2376</v>
      </c>
      <c r="G59" s="104">
        <v>768</v>
      </c>
      <c r="H59" s="102">
        <f t="shared" si="1"/>
        <v>95.269999999999982</v>
      </c>
      <c r="I59" s="104">
        <f>I60+I61+I62+I63+I64</f>
        <v>863.27</v>
      </c>
      <c r="J59" s="104">
        <f>J60+J61+J62+J63+J64</f>
        <v>850</v>
      </c>
      <c r="K59" s="104">
        <f>K60+K61+K62+K63+K64</f>
        <v>850</v>
      </c>
    </row>
    <row r="60" spans="1:11" s="38" customFormat="1" x14ac:dyDescent="0.25">
      <c r="A60" s="12"/>
      <c r="B60" s="12"/>
      <c r="C60" s="12">
        <v>32400</v>
      </c>
      <c r="D60" s="12" t="s">
        <v>61</v>
      </c>
      <c r="E60" s="106">
        <v>0</v>
      </c>
      <c r="F60" s="106">
        <v>0</v>
      </c>
      <c r="G60" s="106">
        <v>40</v>
      </c>
      <c r="H60" s="102">
        <f t="shared" si="1"/>
        <v>10</v>
      </c>
      <c r="I60" s="106">
        <v>50</v>
      </c>
      <c r="J60" s="106">
        <v>50</v>
      </c>
      <c r="K60" s="106">
        <v>50</v>
      </c>
    </row>
    <row r="61" spans="1:11" s="38" customFormat="1" ht="25.5" x14ac:dyDescent="0.25">
      <c r="A61" s="12"/>
      <c r="B61" s="12"/>
      <c r="C61" s="12">
        <v>47400</v>
      </c>
      <c r="D61" s="17" t="s">
        <v>63</v>
      </c>
      <c r="E61" s="106">
        <v>0</v>
      </c>
      <c r="F61" s="106">
        <v>0</v>
      </c>
      <c r="G61" s="106">
        <v>0</v>
      </c>
      <c r="H61" s="102">
        <f t="shared" si="1"/>
        <v>0</v>
      </c>
      <c r="I61" s="106">
        <v>0</v>
      </c>
      <c r="J61" s="106">
        <v>0</v>
      </c>
      <c r="K61" s="106">
        <v>0</v>
      </c>
    </row>
    <row r="62" spans="1:11" s="38" customFormat="1" ht="25.5" x14ac:dyDescent="0.25">
      <c r="A62" s="12"/>
      <c r="B62" s="12"/>
      <c r="C62" s="12">
        <v>48007</v>
      </c>
      <c r="D62" s="17" t="s">
        <v>57</v>
      </c>
      <c r="E62" s="106">
        <f>'POSEBNI DIO EUR'!J12</f>
        <v>694.19868604419662</v>
      </c>
      <c r="F62" s="106">
        <v>690</v>
      </c>
      <c r="G62" s="106">
        <v>714</v>
      </c>
      <c r="H62" s="102">
        <f t="shared" si="1"/>
        <v>86</v>
      </c>
      <c r="I62" s="106">
        <v>800</v>
      </c>
      <c r="J62" s="106">
        <v>800</v>
      </c>
      <c r="K62" s="106">
        <v>800</v>
      </c>
    </row>
    <row r="63" spans="1:11" s="38" customFormat="1" ht="25.5" x14ac:dyDescent="0.25">
      <c r="A63" s="12"/>
      <c r="B63" s="12"/>
      <c r="C63" s="12">
        <v>51999</v>
      </c>
      <c r="D63" s="17" t="s">
        <v>136</v>
      </c>
      <c r="E63" s="106">
        <v>95</v>
      </c>
      <c r="F63" s="106">
        <v>491</v>
      </c>
      <c r="G63" s="106">
        <v>0</v>
      </c>
      <c r="H63" s="102">
        <f t="shared" si="1"/>
        <v>0</v>
      </c>
      <c r="I63" s="106">
        <v>0</v>
      </c>
      <c r="J63" s="106">
        <v>0</v>
      </c>
      <c r="K63" s="106">
        <v>0</v>
      </c>
    </row>
    <row r="64" spans="1:11" s="38" customFormat="1" ht="27.75" customHeight="1" x14ac:dyDescent="0.25">
      <c r="A64" s="57"/>
      <c r="B64" s="56"/>
      <c r="C64" s="56">
        <v>53082</v>
      </c>
      <c r="D64" s="56" t="s">
        <v>66</v>
      </c>
      <c r="E64" s="106">
        <f>'POSEBNI DIO EUR'!J34</f>
        <v>6987.7443758709933</v>
      </c>
      <c r="F64" s="106">
        <v>1195</v>
      </c>
      <c r="G64" s="106">
        <v>13</v>
      </c>
      <c r="H64" s="102">
        <f t="shared" si="1"/>
        <v>0.26999999999999957</v>
      </c>
      <c r="I64" s="106">
        <f>'POSEBNI DIO EUR'!N34</f>
        <v>13.27</v>
      </c>
      <c r="J64" s="106">
        <v>0</v>
      </c>
      <c r="K64" s="106">
        <v>0</v>
      </c>
    </row>
    <row r="65" spans="1:11" ht="25.5" x14ac:dyDescent="0.25">
      <c r="A65" s="13">
        <v>4</v>
      </c>
      <c r="B65" s="14"/>
      <c r="C65" s="14"/>
      <c r="D65" s="101" t="s">
        <v>21</v>
      </c>
      <c r="E65" s="103">
        <f>SUM(E66,E68)</f>
        <v>43873</v>
      </c>
      <c r="F65" s="103">
        <f>SUM(F66,F68)</f>
        <v>11295</v>
      </c>
      <c r="G65" s="103">
        <f>SUM(G66,G68)</f>
        <v>9769</v>
      </c>
      <c r="H65" s="102">
        <f t="shared" si="1"/>
        <v>651.65999999999985</v>
      </c>
      <c r="I65" s="103">
        <f>I66+I68</f>
        <v>10420.66</v>
      </c>
      <c r="J65" s="103">
        <f>SUM(J66,J68)</f>
        <v>10420.66</v>
      </c>
      <c r="K65" s="103">
        <f>SUM(K66,K68)</f>
        <v>10420.66</v>
      </c>
    </row>
    <row r="66" spans="1:11" ht="38.25" x14ac:dyDescent="0.25">
      <c r="A66" s="15"/>
      <c r="B66" s="15">
        <v>41</v>
      </c>
      <c r="C66" s="15"/>
      <c r="D66" s="28" t="s">
        <v>135</v>
      </c>
      <c r="E66" s="102">
        <v>0</v>
      </c>
      <c r="F66" s="102">
        <f>SUM(F67)</f>
        <v>0</v>
      </c>
      <c r="G66" s="102">
        <f>SUM(G67)</f>
        <v>0</v>
      </c>
      <c r="H66" s="102">
        <f t="shared" si="1"/>
        <v>0</v>
      </c>
      <c r="I66" s="102">
        <v>0</v>
      </c>
      <c r="J66" s="102">
        <f>SUM(J67)</f>
        <v>0</v>
      </c>
      <c r="K66" s="102">
        <f>SUM(K67)</f>
        <v>0</v>
      </c>
    </row>
    <row r="67" spans="1:11" s="38" customFormat="1" ht="25.5" x14ac:dyDescent="0.25">
      <c r="A67" s="56"/>
      <c r="B67" s="56"/>
      <c r="C67" s="12">
        <v>48008</v>
      </c>
      <c r="D67" s="17" t="s">
        <v>134</v>
      </c>
      <c r="E67" s="106">
        <v>1314</v>
      </c>
      <c r="F67" s="106">
        <v>0</v>
      </c>
      <c r="G67" s="106">
        <v>0</v>
      </c>
      <c r="H67" s="102">
        <f t="shared" si="1"/>
        <v>0</v>
      </c>
      <c r="I67" s="106">
        <v>0</v>
      </c>
      <c r="J67" s="106">
        <v>0</v>
      </c>
      <c r="K67" s="106">
        <v>0</v>
      </c>
    </row>
    <row r="68" spans="1:11" ht="38.25" x14ac:dyDescent="0.25">
      <c r="A68" s="15"/>
      <c r="B68" s="15">
        <v>42</v>
      </c>
      <c r="C68" s="15"/>
      <c r="D68" s="28" t="s">
        <v>44</v>
      </c>
      <c r="E68" s="102">
        <f>SUM(E69:E74)</f>
        <v>43873</v>
      </c>
      <c r="F68" s="102">
        <f>SUM(F69:F74)</f>
        <v>11295</v>
      </c>
      <c r="G68" s="102">
        <f>SUM(G69:G74)</f>
        <v>9769</v>
      </c>
      <c r="H68" s="102">
        <f t="shared" si="1"/>
        <v>651.65999999999985</v>
      </c>
      <c r="I68" s="102">
        <f>I69+I70+I71+I72+I73</f>
        <v>10420.66</v>
      </c>
      <c r="J68" s="102">
        <f>SUM(J69:J74)</f>
        <v>10420.66</v>
      </c>
      <c r="K68" s="102">
        <f>SUM(K69:K74)</f>
        <v>10420.66</v>
      </c>
    </row>
    <row r="69" spans="1:11" s="38" customFormat="1" ht="25.5" x14ac:dyDescent="0.25">
      <c r="A69" s="56"/>
      <c r="B69" s="56"/>
      <c r="C69" s="56">
        <v>11001</v>
      </c>
      <c r="D69" s="58" t="s">
        <v>76</v>
      </c>
      <c r="E69" s="106">
        <v>531</v>
      </c>
      <c r="F69" s="106">
        <v>1526</v>
      </c>
      <c r="G69" s="106">
        <v>0</v>
      </c>
      <c r="H69" s="102">
        <f t="shared" si="1"/>
        <v>420</v>
      </c>
      <c r="I69" s="106">
        <f>'POSEBNI DIO EUR'!N117</f>
        <v>420</v>
      </c>
      <c r="J69" s="106">
        <f>'POSEBNI DIO EUR'!O117</f>
        <v>420</v>
      </c>
      <c r="K69" s="106">
        <f>'POSEBNI DIO EUR'!P117</f>
        <v>420</v>
      </c>
    </row>
    <row r="70" spans="1:11" s="38" customFormat="1" x14ac:dyDescent="0.25">
      <c r="A70" s="12"/>
      <c r="B70" s="12"/>
      <c r="C70" s="12">
        <v>32400</v>
      </c>
      <c r="D70" s="12" t="s">
        <v>61</v>
      </c>
      <c r="E70" s="106">
        <v>610</v>
      </c>
      <c r="F70" s="106">
        <v>1</v>
      </c>
      <c r="G70" s="106">
        <v>1</v>
      </c>
      <c r="H70" s="102">
        <f t="shared" si="1"/>
        <v>-0.33999999999999997</v>
      </c>
      <c r="I70" s="106">
        <f>'POSEBNI DIO EUR'!N107</f>
        <v>0.66</v>
      </c>
      <c r="J70" s="106">
        <v>0.66</v>
      </c>
      <c r="K70" s="106">
        <v>0.66</v>
      </c>
    </row>
    <row r="71" spans="1:11" s="38" customFormat="1" ht="25.5" x14ac:dyDescent="0.25">
      <c r="A71" s="56"/>
      <c r="B71" s="56"/>
      <c r="C71" s="12">
        <v>47400</v>
      </c>
      <c r="D71" s="17" t="s">
        <v>63</v>
      </c>
      <c r="E71" s="106">
        <v>561</v>
      </c>
      <c r="F71" s="106">
        <v>9768</v>
      </c>
      <c r="G71" s="106">
        <v>9768</v>
      </c>
      <c r="H71" s="102">
        <f t="shared" si="1"/>
        <v>232</v>
      </c>
      <c r="I71" s="106">
        <f>'POSEBNI DIO EUR'!N110</f>
        <v>10000</v>
      </c>
      <c r="J71" s="106">
        <f>'POSEBNI DIO EUR'!O110</f>
        <v>10000</v>
      </c>
      <c r="K71" s="106">
        <f>'POSEBNI DIO EUR'!P110</f>
        <v>10000</v>
      </c>
    </row>
    <row r="72" spans="1:11" s="38" customFormat="1" ht="25.5" x14ac:dyDescent="0.25">
      <c r="A72" s="56"/>
      <c r="B72" s="56"/>
      <c r="C72" s="12">
        <v>48008</v>
      </c>
      <c r="D72" s="17" t="s">
        <v>134</v>
      </c>
      <c r="E72" s="106">
        <v>1314</v>
      </c>
      <c r="F72" s="106">
        <v>0</v>
      </c>
      <c r="G72" s="106">
        <v>0</v>
      </c>
      <c r="H72" s="102">
        <f t="shared" si="1"/>
        <v>0</v>
      </c>
      <c r="I72" s="106">
        <v>0</v>
      </c>
      <c r="J72" s="106">
        <v>0</v>
      </c>
      <c r="K72" s="106">
        <v>0</v>
      </c>
    </row>
    <row r="73" spans="1:11" s="38" customFormat="1" ht="27.75" customHeight="1" x14ac:dyDescent="0.25">
      <c r="A73" s="57"/>
      <c r="B73" s="56"/>
      <c r="C73" s="56">
        <v>53082</v>
      </c>
      <c r="D73" s="56" t="s">
        <v>66</v>
      </c>
      <c r="E73" s="106">
        <v>0</v>
      </c>
      <c r="F73" s="106">
        <v>0</v>
      </c>
      <c r="G73" s="106">
        <v>0</v>
      </c>
      <c r="H73" s="102">
        <f t="shared" si="1"/>
        <v>0</v>
      </c>
      <c r="I73" s="106">
        <v>0</v>
      </c>
      <c r="J73" s="106">
        <v>0</v>
      </c>
      <c r="K73" s="106">
        <v>0</v>
      </c>
    </row>
    <row r="74" spans="1:11" x14ac:dyDescent="0.25">
      <c r="A74" s="64"/>
      <c r="B74" s="64"/>
      <c r="C74" s="65">
        <v>81006</v>
      </c>
      <c r="D74" s="65" t="s">
        <v>150</v>
      </c>
      <c r="E74" s="107">
        <v>40857</v>
      </c>
      <c r="F74" s="107">
        <v>0</v>
      </c>
      <c r="G74" s="105">
        <v>0</v>
      </c>
      <c r="H74" s="102">
        <f t="shared" si="1"/>
        <v>0</v>
      </c>
      <c r="I74" s="105">
        <v>0</v>
      </c>
      <c r="J74" s="105">
        <v>0</v>
      </c>
      <c r="K74" s="105">
        <v>0</v>
      </c>
    </row>
    <row r="75" spans="1:11" x14ac:dyDescent="0.25">
      <c r="A75" s="112"/>
      <c r="B75" s="112"/>
      <c r="C75" s="112"/>
      <c r="E75"/>
      <c r="F75"/>
      <c r="I75" t="s">
        <v>188</v>
      </c>
      <c r="J75" s="44"/>
    </row>
    <row r="76" spans="1:11" x14ac:dyDescent="0.25">
      <c r="A76" s="112" t="s">
        <v>90</v>
      </c>
      <c r="B76" s="112"/>
      <c r="C76" s="112"/>
      <c r="E76"/>
      <c r="F76"/>
      <c r="J76" s="44" t="s">
        <v>98</v>
      </c>
    </row>
    <row r="77" spans="1:11" x14ac:dyDescent="0.25">
      <c r="A77" s="42" t="s">
        <v>91</v>
      </c>
      <c r="B77" s="43"/>
      <c r="C77" s="43"/>
      <c r="E77"/>
      <c r="F77"/>
      <c r="J77" s="54" t="s">
        <v>185</v>
      </c>
    </row>
    <row r="78" spans="1:11" x14ac:dyDescent="0.25">
      <c r="A78" s="112" t="s">
        <v>158</v>
      </c>
      <c r="B78" s="112"/>
      <c r="C78" s="112"/>
      <c r="E78"/>
      <c r="F78"/>
    </row>
  </sheetData>
  <mergeCells count="9">
    <mergeCell ref="A78:C78"/>
    <mergeCell ref="A1:L1"/>
    <mergeCell ref="A75:C75"/>
    <mergeCell ref="A7:K7"/>
    <mergeCell ref="A34:K34"/>
    <mergeCell ref="A3:K3"/>
    <mergeCell ref="A5:K5"/>
    <mergeCell ref="A76:C76"/>
    <mergeCell ref="A2:C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A2" sqref="A2"/>
    </sheetView>
  </sheetViews>
  <sheetFormatPr defaultRowHeight="15" x14ac:dyDescent="0.25"/>
  <cols>
    <col min="1" max="1" width="35.5703125" customWidth="1"/>
    <col min="2" max="8" width="17.7109375" customWidth="1"/>
  </cols>
  <sheetData>
    <row r="1" spans="1:12" ht="42" customHeight="1" x14ac:dyDescent="0.25">
      <c r="A1" s="115" t="s">
        <v>166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8" customHeight="1" x14ac:dyDescent="0.25">
      <c r="A2" s="74" t="s">
        <v>165</v>
      </c>
      <c r="B2" s="4"/>
      <c r="C2" s="4"/>
      <c r="D2" s="4"/>
      <c r="E2" s="26"/>
      <c r="F2" s="26"/>
      <c r="G2" s="4"/>
      <c r="H2" s="4"/>
    </row>
    <row r="3" spans="1:12" ht="15.75" x14ac:dyDescent="0.25">
      <c r="A3" s="115" t="s">
        <v>27</v>
      </c>
      <c r="B3" s="115"/>
      <c r="C3" s="115"/>
      <c r="D3" s="115"/>
      <c r="E3" s="115"/>
      <c r="F3" s="115"/>
      <c r="G3" s="116"/>
      <c r="H3" s="116"/>
    </row>
    <row r="4" spans="1:12" ht="18" x14ac:dyDescent="0.25">
      <c r="A4" s="4"/>
      <c r="B4" s="4"/>
      <c r="C4" s="4"/>
      <c r="D4" s="4"/>
      <c r="E4" s="26"/>
      <c r="F4" s="26"/>
      <c r="G4" s="5"/>
      <c r="H4" s="5"/>
    </row>
    <row r="5" spans="1:12" ht="18" customHeight="1" x14ac:dyDescent="0.25">
      <c r="A5" s="115" t="s">
        <v>14</v>
      </c>
      <c r="B5" s="117"/>
      <c r="C5" s="117"/>
      <c r="D5" s="117"/>
      <c r="E5" s="117"/>
      <c r="F5" s="117"/>
      <c r="G5" s="117"/>
      <c r="H5" s="117"/>
    </row>
    <row r="6" spans="1:12" ht="18" x14ac:dyDescent="0.25">
      <c r="A6" s="4"/>
      <c r="B6" s="4"/>
      <c r="C6" s="4"/>
      <c r="D6" s="4"/>
      <c r="E6" s="26"/>
      <c r="F6" s="26"/>
      <c r="G6" s="5"/>
      <c r="H6" s="5"/>
    </row>
    <row r="7" spans="1:12" ht="15.75" x14ac:dyDescent="0.25">
      <c r="A7" s="115" t="s">
        <v>22</v>
      </c>
      <c r="B7" s="136"/>
      <c r="C7" s="136"/>
      <c r="D7" s="136"/>
      <c r="E7" s="136"/>
      <c r="F7" s="136"/>
      <c r="G7" s="136"/>
      <c r="H7" s="136"/>
    </row>
    <row r="8" spans="1:12" ht="18" x14ac:dyDescent="0.25">
      <c r="A8" s="4"/>
      <c r="B8" s="4"/>
      <c r="C8" s="4"/>
      <c r="D8" s="4"/>
      <c r="E8" s="26"/>
      <c r="F8" s="26"/>
      <c r="G8" s="5"/>
      <c r="H8" s="5"/>
    </row>
    <row r="11" spans="1:12" ht="25.5" x14ac:dyDescent="0.25">
      <c r="A11" s="22" t="s">
        <v>23</v>
      </c>
      <c r="B11" s="21" t="s">
        <v>12</v>
      </c>
      <c r="C11" s="22" t="s">
        <v>13</v>
      </c>
      <c r="D11" s="22" t="s">
        <v>41</v>
      </c>
      <c r="E11" s="22" t="s">
        <v>155</v>
      </c>
      <c r="F11" s="22" t="s">
        <v>186</v>
      </c>
      <c r="G11" s="22" t="s">
        <v>42</v>
      </c>
      <c r="H11" s="22" t="s">
        <v>43</v>
      </c>
    </row>
    <row r="12" spans="1:12" x14ac:dyDescent="0.25">
      <c r="A12" s="10" t="s">
        <v>132</v>
      </c>
      <c r="B12" s="53">
        <v>1130739.0376957792</v>
      </c>
      <c r="C12" s="53">
        <v>1005739.5394212903</v>
      </c>
      <c r="D12" s="53">
        <v>1011600.3809397398</v>
      </c>
      <c r="E12" s="53">
        <f>F12-D12</f>
        <v>519556.19906026032</v>
      </c>
      <c r="F12" s="53">
        <v>1531156.58</v>
      </c>
      <c r="G12" s="53">
        <v>1505238.98</v>
      </c>
      <c r="H12" s="53">
        <v>1505238.98</v>
      </c>
    </row>
    <row r="13" spans="1:12" x14ac:dyDescent="0.25">
      <c r="A13" s="10" t="s">
        <v>48</v>
      </c>
      <c r="B13" s="53">
        <v>1130739.0376957792</v>
      </c>
      <c r="C13" s="53">
        <v>1005739.5394212903</v>
      </c>
      <c r="D13" s="53">
        <v>1011600.3809397398</v>
      </c>
      <c r="E13" s="53">
        <f t="shared" ref="E13:E15" si="0">F13-D13</f>
        <v>519556.19906026032</v>
      </c>
      <c r="F13" s="53">
        <v>1531156.58</v>
      </c>
      <c r="G13" s="53">
        <v>1505238.98</v>
      </c>
      <c r="H13" s="53">
        <v>1505238.98</v>
      </c>
    </row>
    <row r="14" spans="1:12" x14ac:dyDescent="0.25">
      <c r="A14" s="17" t="s">
        <v>49</v>
      </c>
      <c r="B14" s="53">
        <v>1130739.0376957792</v>
      </c>
      <c r="C14" s="53">
        <v>1005739.5394212903</v>
      </c>
      <c r="D14" s="53">
        <v>1011600.3809397398</v>
      </c>
      <c r="E14" s="53">
        <f t="shared" si="0"/>
        <v>519556.19906026032</v>
      </c>
      <c r="F14" s="53">
        <v>1531156.58</v>
      </c>
      <c r="G14" s="53">
        <v>1505238.98</v>
      </c>
      <c r="H14" s="53">
        <v>1505238.98</v>
      </c>
    </row>
    <row r="15" spans="1:12" x14ac:dyDescent="0.25">
      <c r="A15" s="16" t="s">
        <v>50</v>
      </c>
      <c r="B15" s="53">
        <v>1130739.0376957792</v>
      </c>
      <c r="C15" s="53">
        <v>1005739.5394212903</v>
      </c>
      <c r="D15" s="53">
        <v>1011600.3809397398</v>
      </c>
      <c r="E15" s="53">
        <f t="shared" si="0"/>
        <v>519556.19906026032</v>
      </c>
      <c r="F15" s="53">
        <v>1531156.58</v>
      </c>
      <c r="G15" s="53">
        <v>1505238.98</v>
      </c>
      <c r="H15" s="53">
        <v>1505238.98</v>
      </c>
    </row>
    <row r="17" spans="1:7" x14ac:dyDescent="0.25">
      <c r="A17" s="112" t="s">
        <v>90</v>
      </c>
      <c r="B17" s="112"/>
      <c r="C17" s="112"/>
      <c r="G17" s="44" t="s">
        <v>98</v>
      </c>
    </row>
    <row r="18" spans="1:7" x14ac:dyDescent="0.25">
      <c r="A18" s="42" t="s">
        <v>91</v>
      </c>
      <c r="B18" s="43"/>
      <c r="C18" s="43"/>
      <c r="G18" s="54" t="s">
        <v>185</v>
      </c>
    </row>
    <row r="19" spans="1:7" x14ac:dyDescent="0.25">
      <c r="A19" s="112" t="s">
        <v>158</v>
      </c>
      <c r="B19" s="112"/>
      <c r="C19" s="112"/>
    </row>
  </sheetData>
  <mergeCells count="6">
    <mergeCell ref="A19:C19"/>
    <mergeCell ref="A3:H3"/>
    <mergeCell ref="A5:H5"/>
    <mergeCell ref="A7:H7"/>
    <mergeCell ref="A1:L1"/>
    <mergeCell ref="A17:C1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115" t="s">
        <v>190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customHeight="1" x14ac:dyDescent="0.25">
      <c r="A2" s="111" t="s">
        <v>165</v>
      </c>
      <c r="B2" s="137"/>
      <c r="C2" s="137"/>
      <c r="D2" s="4"/>
      <c r="E2" s="4"/>
      <c r="F2" s="4"/>
      <c r="G2" s="4"/>
      <c r="H2" s="4"/>
      <c r="I2" s="4"/>
    </row>
    <row r="3" spans="1:10" ht="15.75" x14ac:dyDescent="0.25">
      <c r="A3" s="115" t="s">
        <v>27</v>
      </c>
      <c r="B3" s="115"/>
      <c r="C3" s="115"/>
      <c r="D3" s="115"/>
      <c r="E3" s="115"/>
      <c r="F3" s="115"/>
      <c r="G3" s="115"/>
      <c r="H3" s="116"/>
      <c r="I3" s="116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15" t="s">
        <v>24</v>
      </c>
      <c r="B5" s="117"/>
      <c r="C5" s="117"/>
      <c r="D5" s="117"/>
      <c r="E5" s="117"/>
      <c r="F5" s="117"/>
      <c r="G5" s="117"/>
      <c r="H5" s="117"/>
      <c r="I5" s="117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0" ht="25.5" x14ac:dyDescent="0.25">
      <c r="A7" s="22" t="s">
        <v>15</v>
      </c>
      <c r="B7" s="21" t="s">
        <v>16</v>
      </c>
      <c r="C7" s="21" t="s">
        <v>17</v>
      </c>
      <c r="D7" s="21" t="s">
        <v>46</v>
      </c>
      <c r="E7" s="21" t="s">
        <v>12</v>
      </c>
      <c r="F7" s="22" t="s">
        <v>13</v>
      </c>
      <c r="G7" s="22" t="s">
        <v>41</v>
      </c>
      <c r="H7" s="22" t="s">
        <v>42</v>
      </c>
      <c r="I7" s="22" t="s">
        <v>43</v>
      </c>
    </row>
    <row r="8" spans="1:10" ht="25.5" x14ac:dyDescent="0.25">
      <c r="A8" s="10">
        <v>8</v>
      </c>
      <c r="B8" s="10"/>
      <c r="C8" s="10"/>
      <c r="D8" s="10" t="s">
        <v>25</v>
      </c>
      <c r="E8" s="8">
        <v>0</v>
      </c>
      <c r="F8" s="9">
        <v>0</v>
      </c>
      <c r="G8" s="9">
        <v>0</v>
      </c>
      <c r="H8" s="9">
        <v>0</v>
      </c>
      <c r="I8" s="9">
        <v>0</v>
      </c>
    </row>
    <row r="9" spans="1:10" x14ac:dyDescent="0.25">
      <c r="A9" s="10"/>
      <c r="B9" s="15">
        <v>84</v>
      </c>
      <c r="C9" s="15"/>
      <c r="D9" s="15" t="s">
        <v>31</v>
      </c>
      <c r="E9" s="8">
        <v>0</v>
      </c>
      <c r="F9" s="9">
        <v>0</v>
      </c>
      <c r="G9" s="9">
        <v>0</v>
      </c>
      <c r="H9" s="9">
        <v>0</v>
      </c>
      <c r="I9" s="9">
        <v>0</v>
      </c>
    </row>
    <row r="10" spans="1:10" ht="25.5" x14ac:dyDescent="0.25">
      <c r="A10" s="11"/>
      <c r="B10" s="11"/>
      <c r="C10" s="12">
        <v>81</v>
      </c>
      <c r="D10" s="17" t="s">
        <v>32</v>
      </c>
      <c r="E10" s="8">
        <v>0</v>
      </c>
      <c r="F10" s="9">
        <v>0</v>
      </c>
      <c r="G10" s="9">
        <v>0</v>
      </c>
      <c r="H10" s="9">
        <v>0</v>
      </c>
      <c r="I10" s="9">
        <v>0</v>
      </c>
    </row>
    <row r="11" spans="1:10" ht="25.5" x14ac:dyDescent="0.25">
      <c r="A11" s="13">
        <v>5</v>
      </c>
      <c r="B11" s="14"/>
      <c r="C11" s="14"/>
      <c r="D11" s="27" t="s">
        <v>26</v>
      </c>
      <c r="E11" s="8">
        <v>0</v>
      </c>
      <c r="F11" s="9">
        <v>0</v>
      </c>
      <c r="G11" s="9">
        <v>0</v>
      </c>
      <c r="H11" s="9">
        <v>0</v>
      </c>
      <c r="I11" s="9">
        <v>0</v>
      </c>
    </row>
    <row r="12" spans="1:10" ht="25.5" x14ac:dyDescent="0.25">
      <c r="A12" s="15"/>
      <c r="B12" s="15">
        <v>54</v>
      </c>
      <c r="C12" s="15"/>
      <c r="D12" s="28" t="s">
        <v>33</v>
      </c>
      <c r="E12" s="8">
        <v>0</v>
      </c>
      <c r="F12" s="9">
        <v>0</v>
      </c>
      <c r="G12" s="9">
        <v>0</v>
      </c>
      <c r="H12" s="9">
        <v>0</v>
      </c>
      <c r="I12" s="9">
        <v>0</v>
      </c>
    </row>
    <row r="13" spans="1:10" x14ac:dyDescent="0.25">
      <c r="A13" s="15"/>
      <c r="B13" s="15"/>
      <c r="C13" s="12">
        <v>11</v>
      </c>
      <c r="D13" s="12" t="s">
        <v>18</v>
      </c>
      <c r="E13" s="8">
        <v>0</v>
      </c>
      <c r="F13" s="9">
        <v>0</v>
      </c>
      <c r="G13" s="9">
        <v>0</v>
      </c>
      <c r="H13" s="9">
        <v>0</v>
      </c>
      <c r="I13" s="9">
        <v>0</v>
      </c>
    </row>
    <row r="14" spans="1:10" x14ac:dyDescent="0.25">
      <c r="A14" s="15"/>
      <c r="B14" s="15"/>
      <c r="C14" s="12">
        <v>31</v>
      </c>
      <c r="D14" s="12" t="s">
        <v>34</v>
      </c>
      <c r="E14" s="8">
        <v>0</v>
      </c>
      <c r="F14" s="9">
        <v>0</v>
      </c>
      <c r="G14" s="9">
        <v>0</v>
      </c>
      <c r="H14" s="9">
        <v>0</v>
      </c>
      <c r="I14" s="9">
        <v>0</v>
      </c>
    </row>
    <row r="17" spans="1:8" x14ac:dyDescent="0.25">
      <c r="A17" s="112" t="s">
        <v>90</v>
      </c>
      <c r="B17" s="112"/>
      <c r="C17" s="112"/>
      <c r="H17" s="44" t="s">
        <v>98</v>
      </c>
    </row>
    <row r="18" spans="1:8" x14ac:dyDescent="0.25">
      <c r="A18" s="42" t="s">
        <v>91</v>
      </c>
      <c r="B18" s="43"/>
      <c r="C18" s="43"/>
      <c r="H18" s="54" t="s">
        <v>185</v>
      </c>
    </row>
    <row r="19" spans="1:8" x14ac:dyDescent="0.25">
      <c r="A19" s="112" t="s">
        <v>158</v>
      </c>
      <c r="B19" s="112"/>
      <c r="C19" s="112"/>
    </row>
  </sheetData>
  <mergeCells count="6">
    <mergeCell ref="A3:I3"/>
    <mergeCell ref="A5:I5"/>
    <mergeCell ref="A1:J1"/>
    <mergeCell ref="A17:C17"/>
    <mergeCell ref="A19:C19"/>
    <mergeCell ref="A2:C2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0"/>
  <sheetViews>
    <sheetView tabSelected="1" topLeftCell="A115" workbookViewId="0">
      <selection activeCell="C128" sqref="C128:N1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style="39" hidden="1" customWidth="1"/>
    <col min="7" max="9" width="25.28515625" hidden="1" customWidth="1"/>
    <col min="10" max="16" width="18" customWidth="1"/>
    <col min="18" max="18" width="10.140625" bestFit="1" customWidth="1"/>
    <col min="19" max="19" width="10" bestFit="1" customWidth="1"/>
    <col min="20" max="20" width="11.7109375" bestFit="1" customWidth="1"/>
    <col min="21" max="21" width="10" bestFit="1" customWidth="1"/>
  </cols>
  <sheetData>
    <row r="1" spans="1:22" ht="42" customHeight="1" x14ac:dyDescent="0.25">
      <c r="A1" s="115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2" ht="22.5" customHeight="1" x14ac:dyDescent="0.25">
      <c r="A2" s="111" t="s">
        <v>165</v>
      </c>
      <c r="B2" s="111"/>
      <c r="C2" s="111"/>
      <c r="D2" s="26"/>
      <c r="E2" s="40"/>
      <c r="F2" s="40"/>
      <c r="G2" s="26"/>
      <c r="H2" s="5"/>
      <c r="I2" s="5"/>
    </row>
    <row r="3" spans="1:22" ht="18" customHeight="1" x14ac:dyDescent="0.25">
      <c r="A3" s="115" t="s">
        <v>131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22" ht="18" x14ac:dyDescent="0.25">
      <c r="A4" s="26"/>
      <c r="B4" s="26"/>
      <c r="C4" s="26"/>
      <c r="D4" s="51"/>
      <c r="E4" s="52"/>
      <c r="F4" s="40"/>
      <c r="G4" s="26"/>
      <c r="H4" s="5"/>
      <c r="I4" s="5"/>
    </row>
    <row r="5" spans="1:22" ht="31.5" x14ac:dyDescent="0.25">
      <c r="A5" s="183" t="s">
        <v>28</v>
      </c>
      <c r="B5" s="184"/>
      <c r="C5" s="185"/>
      <c r="D5" s="75" t="s">
        <v>29</v>
      </c>
      <c r="E5" s="76" t="s">
        <v>12</v>
      </c>
      <c r="F5" s="76" t="s">
        <v>13</v>
      </c>
      <c r="G5" s="77" t="s">
        <v>41</v>
      </c>
      <c r="H5" s="77" t="s">
        <v>42</v>
      </c>
      <c r="I5" s="77" t="s">
        <v>43</v>
      </c>
      <c r="J5" s="76" t="s">
        <v>12</v>
      </c>
      <c r="K5" s="76" t="s">
        <v>13</v>
      </c>
      <c r="L5" s="77" t="s">
        <v>41</v>
      </c>
      <c r="M5" s="77" t="s">
        <v>155</v>
      </c>
      <c r="N5" s="77" t="s">
        <v>154</v>
      </c>
      <c r="O5" s="77" t="s">
        <v>42</v>
      </c>
      <c r="P5" s="77" t="s">
        <v>43</v>
      </c>
    </row>
    <row r="6" spans="1:22" ht="15.75" x14ac:dyDescent="0.25">
      <c r="A6" s="180" t="s">
        <v>83</v>
      </c>
      <c r="B6" s="181"/>
      <c r="C6" s="181"/>
      <c r="D6" s="182"/>
      <c r="E6" s="78">
        <f>SUM(E7,E37,E103,E118,E81,E90,E95)</f>
        <v>8518987.7699999996</v>
      </c>
      <c r="F6" s="78">
        <f>SUM(F7,F37,F103,F118,F81,F90,F95)</f>
        <v>7577241.6399999997</v>
      </c>
      <c r="G6" s="78">
        <f>SUM(G7,G37,G103,G118)</f>
        <v>7621397.2700000005</v>
      </c>
      <c r="H6" s="78">
        <f>SUM(H7,H37,H103,H118)</f>
        <v>7621397.2700000005</v>
      </c>
      <c r="I6" s="78">
        <f>SUM(I7,I37,I103,I118)</f>
        <v>7621397.2700000005</v>
      </c>
      <c r="J6" s="79">
        <f t="shared" ref="J6:J40" si="0">E6/7.5345</f>
        <v>1130663.9816842524</v>
      </c>
      <c r="K6" s="79">
        <f t="shared" ref="K6:K40" si="1">F6/7.5345</f>
        <v>1005672.7904970468</v>
      </c>
      <c r="L6" s="79">
        <f t="shared" ref="L6:L40" si="2">G6/7.5345</f>
        <v>1011533.2497179641</v>
      </c>
      <c r="M6" s="79">
        <f>N6-L6</f>
        <v>519623.33028203598</v>
      </c>
      <c r="N6" s="80">
        <v>1531156.58</v>
      </c>
      <c r="O6" s="79">
        <v>1506238.98</v>
      </c>
      <c r="P6" s="79">
        <v>1506238.98</v>
      </c>
    </row>
    <row r="7" spans="1:22" ht="47.25" x14ac:dyDescent="0.25">
      <c r="A7" s="150" t="s">
        <v>51</v>
      </c>
      <c r="B7" s="151"/>
      <c r="C7" s="152"/>
      <c r="D7" s="81" t="s">
        <v>52</v>
      </c>
      <c r="E7" s="78">
        <f>SUM(E8,E13,E17,E29)</f>
        <v>7903696.6099999994</v>
      </c>
      <c r="F7" s="78">
        <f>SUM(F8,F13,F17,F29)</f>
        <v>6657997.0899999999</v>
      </c>
      <c r="G7" s="78">
        <f>SUM(G8,G13,G17,G29)</f>
        <v>6989269.4000000004</v>
      </c>
      <c r="H7" s="78">
        <f>SUM(H8,H13,H17,H29)</f>
        <v>6989269.4000000004</v>
      </c>
      <c r="I7" s="78">
        <f>SUM(I8,I13,I17,I29)</f>
        <v>6989269.4000000004</v>
      </c>
      <c r="J7" s="82">
        <f t="shared" si="0"/>
        <v>1049000.8109363592</v>
      </c>
      <c r="K7" s="82">
        <f t="shared" si="1"/>
        <v>883668.07220120775</v>
      </c>
      <c r="L7" s="82">
        <f t="shared" si="2"/>
        <v>927635.46353440837</v>
      </c>
      <c r="M7" s="79">
        <f t="shared" ref="M7:M70" si="3">N7-L7</f>
        <v>511497.69646559155</v>
      </c>
      <c r="N7" s="83">
        <v>1439133.16</v>
      </c>
      <c r="O7" s="82">
        <v>1429269.15</v>
      </c>
      <c r="P7" s="82">
        <v>1429269.15</v>
      </c>
      <c r="R7" s="50"/>
      <c r="S7" s="50"/>
      <c r="T7" s="50"/>
    </row>
    <row r="8" spans="1:22" ht="31.5" x14ac:dyDescent="0.25">
      <c r="A8" s="150" t="s">
        <v>53</v>
      </c>
      <c r="B8" s="151"/>
      <c r="C8" s="152"/>
      <c r="D8" s="81" t="s">
        <v>85</v>
      </c>
      <c r="E8" s="78">
        <f>SUM(E10)</f>
        <v>232400.5</v>
      </c>
      <c r="F8" s="78">
        <f>SUM(F10)</f>
        <v>281879.40000000002</v>
      </c>
      <c r="G8" s="78">
        <f>SUM(G10)</f>
        <v>281880.71000000002</v>
      </c>
      <c r="H8" s="78">
        <f>SUM(H10)</f>
        <v>281880.71000000002</v>
      </c>
      <c r="I8" s="78">
        <f>SUM(I10)</f>
        <v>281880.71000000002</v>
      </c>
      <c r="J8" s="79"/>
      <c r="K8" s="79"/>
      <c r="L8" s="79"/>
      <c r="M8" s="79"/>
      <c r="N8" s="80"/>
      <c r="O8" s="79"/>
      <c r="P8" s="79"/>
    </row>
    <row r="9" spans="1:22" ht="30" x14ac:dyDescent="0.25">
      <c r="A9" s="165" t="s">
        <v>54</v>
      </c>
      <c r="B9" s="166"/>
      <c r="C9" s="167"/>
      <c r="D9" s="84" t="s">
        <v>57</v>
      </c>
      <c r="E9" s="78"/>
      <c r="F9" s="78"/>
      <c r="G9" s="78"/>
      <c r="H9" s="78"/>
      <c r="I9" s="78"/>
      <c r="J9" s="79"/>
      <c r="K9" s="79"/>
      <c r="L9" s="79"/>
      <c r="M9" s="79"/>
      <c r="N9" s="80"/>
      <c r="O9" s="79"/>
      <c r="P9" s="79"/>
      <c r="R9" s="50"/>
      <c r="T9" s="50"/>
      <c r="V9" s="50"/>
    </row>
    <row r="10" spans="1:22" ht="15.75" x14ac:dyDescent="0.25">
      <c r="A10" s="141">
        <v>3</v>
      </c>
      <c r="B10" s="142"/>
      <c r="C10" s="143"/>
      <c r="D10" s="85" t="s">
        <v>19</v>
      </c>
      <c r="E10" s="78">
        <f>SUM(E11:E12)</f>
        <v>232400.5</v>
      </c>
      <c r="F10" s="78">
        <f>SUM(F11:F12)</f>
        <v>281879.40000000002</v>
      </c>
      <c r="G10" s="78">
        <f>SUM(G11:G12)</f>
        <v>281880.71000000002</v>
      </c>
      <c r="H10" s="78">
        <f>SUM(H11:H12)</f>
        <v>281880.71000000002</v>
      </c>
      <c r="I10" s="78">
        <f>SUM(I11:I12)</f>
        <v>281880.71000000002</v>
      </c>
      <c r="J10" s="79">
        <f t="shared" si="0"/>
        <v>30844.8470369633</v>
      </c>
      <c r="K10" s="79">
        <f t="shared" si="1"/>
        <v>37411.825602229743</v>
      </c>
      <c r="L10" s="79">
        <f t="shared" si="2"/>
        <v>37411.99946910877</v>
      </c>
      <c r="M10" s="79">
        <f t="shared" si="3"/>
        <v>2619.7605308912316</v>
      </c>
      <c r="N10" s="80">
        <v>40031.760000000002</v>
      </c>
      <c r="O10" s="79">
        <v>40031.760000000002</v>
      </c>
      <c r="P10" s="79">
        <v>40031.760000000002</v>
      </c>
      <c r="T10" s="50"/>
    </row>
    <row r="11" spans="1:22" ht="15.75" x14ac:dyDescent="0.25">
      <c r="A11" s="144">
        <v>32</v>
      </c>
      <c r="B11" s="145"/>
      <c r="C11" s="146"/>
      <c r="D11" s="85" t="s">
        <v>30</v>
      </c>
      <c r="E11" s="78">
        <v>227170.06</v>
      </c>
      <c r="F11" s="78">
        <v>276679.40000000002</v>
      </c>
      <c r="G11" s="78">
        <v>276500</v>
      </c>
      <c r="H11" s="78">
        <v>276500</v>
      </c>
      <c r="I11" s="78">
        <v>276500</v>
      </c>
      <c r="J11" s="79">
        <f t="shared" si="0"/>
        <v>30150.648350919102</v>
      </c>
      <c r="K11" s="79">
        <f t="shared" si="1"/>
        <v>36721.666998473687</v>
      </c>
      <c r="L11" s="79">
        <f t="shared" si="2"/>
        <v>36697.8565266441</v>
      </c>
      <c r="M11" s="79">
        <f t="shared" si="3"/>
        <v>2533.903473355902</v>
      </c>
      <c r="N11" s="80">
        <v>39231.760000000002</v>
      </c>
      <c r="O11" s="79">
        <v>39231.760000000002</v>
      </c>
      <c r="P11" s="79">
        <v>39231.760000000002</v>
      </c>
    </row>
    <row r="12" spans="1:22" ht="15.75" x14ac:dyDescent="0.25">
      <c r="A12" s="144">
        <v>34</v>
      </c>
      <c r="B12" s="145"/>
      <c r="C12" s="146"/>
      <c r="D12" s="85" t="s">
        <v>47</v>
      </c>
      <c r="E12" s="78">
        <v>5230.4399999999996</v>
      </c>
      <c r="F12" s="78">
        <v>5200</v>
      </c>
      <c r="G12" s="78">
        <v>5380.71</v>
      </c>
      <c r="H12" s="78">
        <v>5380.71</v>
      </c>
      <c r="I12" s="78">
        <v>5380.71</v>
      </c>
      <c r="J12" s="79">
        <f t="shared" si="0"/>
        <v>694.19868604419662</v>
      </c>
      <c r="K12" s="79">
        <f t="shared" si="1"/>
        <v>690.15860375605541</v>
      </c>
      <c r="L12" s="79">
        <f t="shared" si="2"/>
        <v>714.1429424646625</v>
      </c>
      <c r="M12" s="79">
        <f t="shared" si="3"/>
        <v>85.857057535337503</v>
      </c>
      <c r="N12" s="80">
        <v>800</v>
      </c>
      <c r="O12" s="79">
        <v>800</v>
      </c>
      <c r="P12" s="79">
        <v>800</v>
      </c>
    </row>
    <row r="13" spans="1:22" ht="47.25" x14ac:dyDescent="0.25">
      <c r="A13" s="150" t="s">
        <v>55</v>
      </c>
      <c r="B13" s="151"/>
      <c r="C13" s="152"/>
      <c r="D13" s="81" t="s">
        <v>56</v>
      </c>
      <c r="E13" s="78">
        <f>SUM(E15)</f>
        <v>1006457.98</v>
      </c>
      <c r="F13" s="78">
        <f>SUM(F15)</f>
        <v>437590</v>
      </c>
      <c r="G13" s="78">
        <f>SUM(G15)</f>
        <v>437588.69</v>
      </c>
      <c r="H13" s="78">
        <f>SUM(H15)</f>
        <v>437588.69</v>
      </c>
      <c r="I13" s="78">
        <f>SUM(I15)</f>
        <v>437588.69</v>
      </c>
      <c r="J13" s="82">
        <f t="shared" si="0"/>
        <v>133579.92965691152</v>
      </c>
      <c r="K13" s="82">
        <f t="shared" si="1"/>
        <v>58078.173734156211</v>
      </c>
      <c r="L13" s="82">
        <f t="shared" si="2"/>
        <v>58077.999867277191</v>
      </c>
      <c r="M13" s="79">
        <f t="shared" si="3"/>
        <v>335.81013272280688</v>
      </c>
      <c r="N13" s="83">
        <f>N15</f>
        <v>58413.81</v>
      </c>
      <c r="O13" s="82">
        <f t="shared" ref="O13:P13" si="4">O15</f>
        <v>58413.81</v>
      </c>
      <c r="P13" s="82">
        <f t="shared" si="4"/>
        <v>58413.81</v>
      </c>
    </row>
    <row r="14" spans="1:22" ht="30" x14ac:dyDescent="0.25">
      <c r="A14" s="165" t="s">
        <v>54</v>
      </c>
      <c r="B14" s="166"/>
      <c r="C14" s="167"/>
      <c r="D14" s="84" t="s">
        <v>57</v>
      </c>
      <c r="E14" s="78"/>
      <c r="F14" s="78"/>
      <c r="G14" s="78"/>
      <c r="H14" s="78"/>
      <c r="I14" s="78"/>
      <c r="J14" s="79"/>
      <c r="K14" s="79"/>
      <c r="L14" s="79"/>
      <c r="M14" s="79"/>
      <c r="N14" s="80"/>
      <c r="O14" s="79"/>
      <c r="P14" s="79"/>
    </row>
    <row r="15" spans="1:22" ht="15.75" x14ac:dyDescent="0.25">
      <c r="A15" s="141">
        <v>3</v>
      </c>
      <c r="B15" s="142"/>
      <c r="C15" s="143"/>
      <c r="D15" s="85" t="s">
        <v>19</v>
      </c>
      <c r="E15" s="78">
        <f>SUM(E16)</f>
        <v>1006457.98</v>
      </c>
      <c r="F15" s="78">
        <f>SUM(F16)</f>
        <v>437590</v>
      </c>
      <c r="G15" s="78">
        <f>SUM(G16)</f>
        <v>437588.69</v>
      </c>
      <c r="H15" s="78">
        <f>SUM(H16)</f>
        <v>437588.69</v>
      </c>
      <c r="I15" s="78">
        <f>SUM(I16)</f>
        <v>437588.69</v>
      </c>
      <c r="J15" s="79">
        <f t="shared" si="0"/>
        <v>133579.92965691152</v>
      </c>
      <c r="K15" s="79">
        <f t="shared" si="1"/>
        <v>58078.173734156211</v>
      </c>
      <c r="L15" s="79">
        <f t="shared" si="2"/>
        <v>58077.999867277191</v>
      </c>
      <c r="M15" s="79">
        <f t="shared" si="3"/>
        <v>335.81013272280688</v>
      </c>
      <c r="N15" s="80">
        <v>58413.81</v>
      </c>
      <c r="O15" s="79">
        <v>58413.81</v>
      </c>
      <c r="P15" s="79">
        <v>58413.81</v>
      </c>
    </row>
    <row r="16" spans="1:22" ht="15.75" x14ac:dyDescent="0.25">
      <c r="A16" s="144">
        <v>32</v>
      </c>
      <c r="B16" s="145"/>
      <c r="C16" s="146"/>
      <c r="D16" s="85" t="s">
        <v>30</v>
      </c>
      <c r="E16" s="78">
        <v>1006457.98</v>
      </c>
      <c r="F16" s="78">
        <v>437590</v>
      </c>
      <c r="G16" s="78">
        <v>437588.69</v>
      </c>
      <c r="H16" s="78">
        <v>437588.69</v>
      </c>
      <c r="I16" s="78">
        <v>437588.69</v>
      </c>
      <c r="J16" s="79">
        <f t="shared" si="0"/>
        <v>133579.92965691152</v>
      </c>
      <c r="K16" s="79">
        <f t="shared" si="1"/>
        <v>58078.173734156211</v>
      </c>
      <c r="L16" s="79">
        <f t="shared" si="2"/>
        <v>58077.999867277191</v>
      </c>
      <c r="M16" s="79">
        <f t="shared" si="3"/>
        <v>335.81013272280688</v>
      </c>
      <c r="N16" s="80">
        <v>58413.81</v>
      </c>
      <c r="O16" s="79">
        <v>58413.81</v>
      </c>
      <c r="P16" s="79">
        <v>58413.81</v>
      </c>
    </row>
    <row r="17" spans="1:19" ht="31.5" x14ac:dyDescent="0.25">
      <c r="A17" s="150" t="s">
        <v>58</v>
      </c>
      <c r="B17" s="151"/>
      <c r="C17" s="152"/>
      <c r="D17" s="81" t="s">
        <v>59</v>
      </c>
      <c r="E17" s="78">
        <f>SUM(E19,E23)</f>
        <v>39748.9</v>
      </c>
      <c r="F17" s="78">
        <f>SUM(F19,F23)</f>
        <v>26927.69</v>
      </c>
      <c r="G17" s="78">
        <f>SUM(G19,G23)</f>
        <v>76400</v>
      </c>
      <c r="H17" s="78">
        <f>SUM(H19,H23)</f>
        <v>76400</v>
      </c>
      <c r="I17" s="78">
        <f>SUM(I19,I23)</f>
        <v>76400</v>
      </c>
      <c r="J17" s="79">
        <f t="shared" si="0"/>
        <v>5275.5856393921295</v>
      </c>
      <c r="K17" s="79">
        <f t="shared" si="1"/>
        <v>3573.9186409184413</v>
      </c>
      <c r="L17" s="79">
        <f t="shared" si="2"/>
        <v>10140.02256287743</v>
      </c>
      <c r="M17" s="79">
        <f t="shared" si="3"/>
        <v>4987.4174371225708</v>
      </c>
      <c r="N17" s="80">
        <f>N19+N23+N27</f>
        <v>15127.44</v>
      </c>
      <c r="O17" s="79">
        <f t="shared" ref="O17:P17" si="5">O19+O23+O27</f>
        <v>5276.7</v>
      </c>
      <c r="P17" s="79">
        <f t="shared" si="5"/>
        <v>5276.7</v>
      </c>
    </row>
    <row r="18" spans="1:19" ht="30" x14ac:dyDescent="0.25">
      <c r="A18" s="156" t="s">
        <v>60</v>
      </c>
      <c r="B18" s="157"/>
      <c r="C18" s="158"/>
      <c r="D18" s="84" t="s">
        <v>61</v>
      </c>
      <c r="E18" s="78"/>
      <c r="F18" s="78"/>
      <c r="G18" s="78"/>
      <c r="H18" s="78"/>
      <c r="I18" s="78"/>
      <c r="J18" s="79"/>
      <c r="K18" s="79"/>
      <c r="L18" s="79"/>
      <c r="M18" s="79">
        <f t="shared" si="3"/>
        <v>0</v>
      </c>
      <c r="N18" s="80"/>
      <c r="O18" s="79"/>
      <c r="P18" s="79"/>
    </row>
    <row r="19" spans="1:19" ht="15.75" x14ac:dyDescent="0.25">
      <c r="A19" s="141">
        <v>3</v>
      </c>
      <c r="B19" s="142"/>
      <c r="C19" s="143"/>
      <c r="D19" s="85" t="s">
        <v>19</v>
      </c>
      <c r="E19" s="78">
        <f>SUM(E20:E21)</f>
        <v>14808.4</v>
      </c>
      <c r="F19" s="78">
        <f>SUM(F20:F21)</f>
        <v>16927.689999999999</v>
      </c>
      <c r="G19" s="78">
        <f>SUM(G20:G21)</f>
        <v>8400</v>
      </c>
      <c r="H19" s="78">
        <f>SUM(H20:H21)</f>
        <v>8400</v>
      </c>
      <c r="I19" s="78">
        <f>SUM(I20:I21)</f>
        <v>8400</v>
      </c>
      <c r="J19" s="79">
        <f t="shared" si="0"/>
        <v>1965.4124361271483</v>
      </c>
      <c r="K19" s="79">
        <f t="shared" si="1"/>
        <v>2246.690556772181</v>
      </c>
      <c r="L19" s="79">
        <f t="shared" si="2"/>
        <v>1114.8715906828588</v>
      </c>
      <c r="M19" s="79">
        <f t="shared" si="3"/>
        <v>1.8284093171412223</v>
      </c>
      <c r="N19" s="80">
        <v>1116.7</v>
      </c>
      <c r="O19" s="79">
        <v>1116.7</v>
      </c>
      <c r="P19" s="79">
        <v>1116.7</v>
      </c>
      <c r="S19" s="50"/>
    </row>
    <row r="20" spans="1:19" ht="15.75" x14ac:dyDescent="0.25">
      <c r="A20" s="144">
        <v>32</v>
      </c>
      <c r="B20" s="145"/>
      <c r="C20" s="146"/>
      <c r="D20" s="85" t="s">
        <v>30</v>
      </c>
      <c r="E20" s="78">
        <v>14808.4</v>
      </c>
      <c r="F20" s="78">
        <v>16927.689999999999</v>
      </c>
      <c r="G20" s="78">
        <v>8400</v>
      </c>
      <c r="H20" s="78">
        <v>8400</v>
      </c>
      <c r="I20" s="78">
        <v>8400</v>
      </c>
      <c r="J20" s="79">
        <f t="shared" si="0"/>
        <v>1965.4124361271483</v>
      </c>
      <c r="K20" s="79">
        <f t="shared" si="1"/>
        <v>2246.690556772181</v>
      </c>
      <c r="L20" s="79">
        <f t="shared" si="2"/>
        <v>1114.8715906828588</v>
      </c>
      <c r="M20" s="79">
        <f t="shared" si="3"/>
        <v>1.8284093171412223</v>
      </c>
      <c r="N20" s="80">
        <v>1116.7</v>
      </c>
      <c r="O20" s="79">
        <v>1116.7</v>
      </c>
      <c r="P20" s="79">
        <v>1116.7</v>
      </c>
    </row>
    <row r="21" spans="1:19" ht="15.75" x14ac:dyDescent="0.25">
      <c r="A21" s="144">
        <v>34</v>
      </c>
      <c r="B21" s="145"/>
      <c r="C21" s="146"/>
      <c r="D21" s="85" t="s">
        <v>47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9">
        <f t="shared" si="0"/>
        <v>0</v>
      </c>
      <c r="K21" s="79">
        <f t="shared" si="1"/>
        <v>0</v>
      </c>
      <c r="L21" s="79">
        <f t="shared" si="2"/>
        <v>0</v>
      </c>
      <c r="M21" s="79">
        <f t="shared" si="3"/>
        <v>0</v>
      </c>
      <c r="N21" s="80">
        <v>0</v>
      </c>
      <c r="O21" s="79">
        <v>0</v>
      </c>
      <c r="P21" s="79">
        <v>0</v>
      </c>
    </row>
    <row r="22" spans="1:19" ht="30" x14ac:dyDescent="0.25">
      <c r="A22" s="174" t="s">
        <v>62</v>
      </c>
      <c r="B22" s="175"/>
      <c r="C22" s="176"/>
      <c r="D22" s="84" t="s">
        <v>63</v>
      </c>
      <c r="E22" s="78"/>
      <c r="F22" s="78"/>
      <c r="G22" s="78"/>
      <c r="H22" s="78"/>
      <c r="I22" s="78"/>
      <c r="J22" s="79"/>
      <c r="K22" s="79"/>
      <c r="L22" s="79"/>
      <c r="M22" s="79"/>
      <c r="N22" s="80"/>
      <c r="O22" s="79"/>
      <c r="P22" s="79"/>
    </row>
    <row r="23" spans="1:19" ht="15.75" x14ac:dyDescent="0.25">
      <c r="A23" s="141">
        <v>3</v>
      </c>
      <c r="B23" s="142"/>
      <c r="C23" s="143"/>
      <c r="D23" s="85" t="s">
        <v>19</v>
      </c>
      <c r="E23" s="78">
        <f>SUM(E24:E25)</f>
        <v>24940.5</v>
      </c>
      <c r="F23" s="78">
        <f>SUM(F24:F25)</f>
        <v>10000</v>
      </c>
      <c r="G23" s="78">
        <f>SUM(G24:G25)</f>
        <v>68000</v>
      </c>
      <c r="H23" s="78">
        <f>SUM(H24:H25)</f>
        <v>68000</v>
      </c>
      <c r="I23" s="78">
        <f>SUM(I24:I25)</f>
        <v>68000</v>
      </c>
      <c r="J23" s="79">
        <f t="shared" si="0"/>
        <v>3310.1732032649811</v>
      </c>
      <c r="K23" s="79">
        <f t="shared" si="1"/>
        <v>1327.2280841462605</v>
      </c>
      <c r="L23" s="79">
        <f t="shared" si="2"/>
        <v>9025.1509721945713</v>
      </c>
      <c r="M23" s="79">
        <f t="shared" si="3"/>
        <v>3979.5890278054285</v>
      </c>
      <c r="N23" s="80">
        <v>13004.74</v>
      </c>
      <c r="O23" s="79">
        <v>4160</v>
      </c>
      <c r="P23" s="79">
        <v>4160</v>
      </c>
    </row>
    <row r="24" spans="1:19" ht="15.75" x14ac:dyDescent="0.25">
      <c r="A24" s="144">
        <v>32</v>
      </c>
      <c r="B24" s="145"/>
      <c r="C24" s="146"/>
      <c r="D24" s="85" t="s">
        <v>30</v>
      </c>
      <c r="E24" s="78">
        <v>24940.5</v>
      </c>
      <c r="F24" s="78">
        <v>10000</v>
      </c>
      <c r="G24" s="78">
        <v>68000</v>
      </c>
      <c r="H24" s="78">
        <v>68000</v>
      </c>
      <c r="I24" s="78">
        <v>68000</v>
      </c>
      <c r="J24" s="79">
        <f t="shared" si="0"/>
        <v>3310.1732032649811</v>
      </c>
      <c r="K24" s="79">
        <f t="shared" si="1"/>
        <v>1327.2280841462605</v>
      </c>
      <c r="L24" s="79">
        <f t="shared" si="2"/>
        <v>9025.1509721945713</v>
      </c>
      <c r="M24" s="79">
        <f t="shared" si="3"/>
        <v>3979.5890278054285</v>
      </c>
      <c r="N24" s="80">
        <v>13004.74</v>
      </c>
      <c r="O24" s="79">
        <v>4160</v>
      </c>
      <c r="P24" s="79">
        <v>4160</v>
      </c>
    </row>
    <row r="25" spans="1:19" ht="15.75" x14ac:dyDescent="0.25">
      <c r="A25" s="144">
        <v>34</v>
      </c>
      <c r="B25" s="145"/>
      <c r="C25" s="146"/>
      <c r="D25" s="85" t="s">
        <v>47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9">
        <f t="shared" si="0"/>
        <v>0</v>
      </c>
      <c r="K25" s="79">
        <f t="shared" si="1"/>
        <v>0</v>
      </c>
      <c r="L25" s="79">
        <f t="shared" si="2"/>
        <v>0</v>
      </c>
      <c r="M25" s="79">
        <f t="shared" si="3"/>
        <v>0</v>
      </c>
      <c r="N25" s="80"/>
      <c r="O25" s="79"/>
      <c r="P25" s="79"/>
    </row>
    <row r="26" spans="1:19" ht="28.5" customHeight="1" x14ac:dyDescent="0.25">
      <c r="A26" s="147" t="s">
        <v>156</v>
      </c>
      <c r="B26" s="148"/>
      <c r="C26" s="149"/>
      <c r="D26" s="84" t="s">
        <v>157</v>
      </c>
      <c r="E26" s="78"/>
      <c r="F26" s="78"/>
      <c r="G26" s="78"/>
      <c r="H26" s="78"/>
      <c r="I26" s="78"/>
      <c r="J26" s="79"/>
      <c r="K26" s="79"/>
      <c r="L26" s="79"/>
      <c r="M26" s="79">
        <f t="shared" si="3"/>
        <v>0</v>
      </c>
      <c r="N26" s="80"/>
      <c r="O26" s="79"/>
      <c r="P26" s="79"/>
    </row>
    <row r="27" spans="1:19" ht="15.75" x14ac:dyDescent="0.25">
      <c r="A27" s="141">
        <v>3</v>
      </c>
      <c r="B27" s="142"/>
      <c r="C27" s="143"/>
      <c r="D27" s="85" t="s">
        <v>19</v>
      </c>
      <c r="E27" s="78">
        <f>SUM(E28:E29)</f>
        <v>6650029.7299999995</v>
      </c>
      <c r="F27" s="78">
        <f>SUM(F28:F29)</f>
        <v>5921600</v>
      </c>
      <c r="G27" s="78">
        <f>SUM(G28:G29)</f>
        <v>6261400</v>
      </c>
      <c r="H27" s="78">
        <f>SUM(H28:H29)</f>
        <v>6261400</v>
      </c>
      <c r="I27" s="78">
        <f>SUM(I28:I29)</f>
        <v>6261400</v>
      </c>
      <c r="J27" s="79">
        <v>0</v>
      </c>
      <c r="K27" s="79">
        <v>0</v>
      </c>
      <c r="L27" s="79">
        <v>0</v>
      </c>
      <c r="M27" s="79">
        <f t="shared" si="3"/>
        <v>1006</v>
      </c>
      <c r="N27" s="80">
        <v>1006</v>
      </c>
      <c r="O27" s="79">
        <v>0</v>
      </c>
      <c r="P27" s="79">
        <v>0</v>
      </c>
    </row>
    <row r="28" spans="1:19" ht="15.75" x14ac:dyDescent="0.25">
      <c r="A28" s="144">
        <v>32</v>
      </c>
      <c r="B28" s="145"/>
      <c r="C28" s="146"/>
      <c r="D28" s="85" t="s">
        <v>30</v>
      </c>
      <c r="E28" s="78">
        <v>24940.5</v>
      </c>
      <c r="F28" s="78">
        <v>10000</v>
      </c>
      <c r="G28" s="78">
        <v>68000</v>
      </c>
      <c r="H28" s="78">
        <v>68000</v>
      </c>
      <c r="I28" s="78">
        <v>68000</v>
      </c>
      <c r="J28" s="79">
        <v>0</v>
      </c>
      <c r="K28" s="79">
        <v>0</v>
      </c>
      <c r="L28" s="79">
        <v>0</v>
      </c>
      <c r="M28" s="79">
        <f t="shared" si="3"/>
        <v>1006</v>
      </c>
      <c r="N28" s="80">
        <v>1006</v>
      </c>
      <c r="O28" s="79">
        <v>0</v>
      </c>
      <c r="P28" s="79">
        <v>0</v>
      </c>
    </row>
    <row r="29" spans="1:19" ht="25.5" customHeight="1" x14ac:dyDescent="0.25">
      <c r="A29" s="150" t="s">
        <v>105</v>
      </c>
      <c r="B29" s="151"/>
      <c r="C29" s="152"/>
      <c r="D29" s="81" t="s">
        <v>64</v>
      </c>
      <c r="E29" s="78">
        <f>SUM(E31)</f>
        <v>6625089.2299999995</v>
      </c>
      <c r="F29" s="78">
        <f>SUM(F31)</f>
        <v>5911600</v>
      </c>
      <c r="G29" s="78">
        <f>SUM(G31)</f>
        <v>6193400</v>
      </c>
      <c r="H29" s="78">
        <f>SUM(H31)</f>
        <v>6193400</v>
      </c>
      <c r="I29" s="78">
        <f>SUM(I31)</f>
        <v>6193400</v>
      </c>
      <c r="J29" s="79">
        <f t="shared" si="0"/>
        <v>879300.44860309234</v>
      </c>
      <c r="K29" s="79">
        <f t="shared" si="1"/>
        <v>784604.15422390332</v>
      </c>
      <c r="L29" s="79">
        <f t="shared" si="2"/>
        <v>822005.44163514499</v>
      </c>
      <c r="M29" s="79">
        <f t="shared" si="3"/>
        <v>503554.70836485492</v>
      </c>
      <c r="N29" s="80">
        <v>1325560.1499999999</v>
      </c>
      <c r="O29" s="79">
        <f>O31</f>
        <v>1325546.8799999999</v>
      </c>
      <c r="P29" s="79">
        <f>P31</f>
        <v>1325546.8799999999</v>
      </c>
    </row>
    <row r="30" spans="1:19" ht="25.5" customHeight="1" x14ac:dyDescent="0.25">
      <c r="A30" s="159" t="s">
        <v>65</v>
      </c>
      <c r="B30" s="160"/>
      <c r="C30" s="161"/>
      <c r="D30" s="84" t="s">
        <v>66</v>
      </c>
      <c r="E30" s="78"/>
      <c r="F30" s="78"/>
      <c r="G30" s="78"/>
      <c r="H30" s="78"/>
      <c r="I30" s="78"/>
      <c r="J30" s="79"/>
      <c r="K30" s="79"/>
      <c r="L30" s="79"/>
      <c r="M30" s="79"/>
      <c r="N30" s="80"/>
      <c r="O30" s="79"/>
      <c r="P30" s="79"/>
    </row>
    <row r="31" spans="1:19" ht="15.75" x14ac:dyDescent="0.25">
      <c r="A31" s="141">
        <v>3</v>
      </c>
      <c r="B31" s="142"/>
      <c r="C31" s="143"/>
      <c r="D31" s="85" t="s">
        <v>19</v>
      </c>
      <c r="E31" s="78">
        <f>SUM(E32:E34)</f>
        <v>6625089.2299999995</v>
      </c>
      <c r="F31" s="78">
        <f>SUM(F32:F34)</f>
        <v>5911600</v>
      </c>
      <c r="G31" s="78">
        <f>SUM(G32:G34)</f>
        <v>6193400</v>
      </c>
      <c r="H31" s="78">
        <f>SUM(H32:H34)</f>
        <v>6193400</v>
      </c>
      <c r="I31" s="78">
        <f>SUM(I32:I34)</f>
        <v>6193400</v>
      </c>
      <c r="J31" s="79">
        <f t="shared" si="0"/>
        <v>879300.44860309234</v>
      </c>
      <c r="K31" s="79">
        <f t="shared" si="1"/>
        <v>784604.15422390332</v>
      </c>
      <c r="L31" s="79">
        <f t="shared" si="2"/>
        <v>822005.44163514499</v>
      </c>
      <c r="M31" s="79">
        <f t="shared" si="3"/>
        <v>503554.70836485492</v>
      </c>
      <c r="N31" s="80">
        <v>1325560.1499999999</v>
      </c>
      <c r="O31" s="79">
        <f>O32+O33+O34+O35</f>
        <v>1325546.8799999999</v>
      </c>
      <c r="P31" s="79">
        <f>P32+P33+P34+P35</f>
        <v>1325546.8799999999</v>
      </c>
    </row>
    <row r="32" spans="1:19" ht="15.75" x14ac:dyDescent="0.25">
      <c r="A32" s="144">
        <v>31</v>
      </c>
      <c r="B32" s="145"/>
      <c r="C32" s="146"/>
      <c r="D32" s="85" t="s">
        <v>20</v>
      </c>
      <c r="E32" s="78">
        <v>6427836.8099999996</v>
      </c>
      <c r="F32" s="78">
        <v>5846000</v>
      </c>
      <c r="G32" s="78">
        <v>6138300</v>
      </c>
      <c r="H32" s="78">
        <v>6138300</v>
      </c>
      <c r="I32" s="78">
        <v>6138300</v>
      </c>
      <c r="J32" s="79">
        <f t="shared" si="0"/>
        <v>853120.55345411098</v>
      </c>
      <c r="K32" s="79">
        <f t="shared" si="1"/>
        <v>775897.53799190384</v>
      </c>
      <c r="L32" s="79">
        <f t="shared" si="2"/>
        <v>814692.41489149909</v>
      </c>
      <c r="M32" s="79">
        <f t="shared" si="3"/>
        <v>485807.58510850091</v>
      </c>
      <c r="N32" s="80">
        <v>1300500</v>
      </c>
      <c r="O32" s="79">
        <v>1300500</v>
      </c>
      <c r="P32" s="79">
        <v>1300500</v>
      </c>
    </row>
    <row r="33" spans="1:16" ht="15.75" x14ac:dyDescent="0.25">
      <c r="A33" s="144">
        <v>32</v>
      </c>
      <c r="B33" s="145"/>
      <c r="C33" s="146"/>
      <c r="D33" s="85" t="s">
        <v>30</v>
      </c>
      <c r="E33" s="78">
        <v>144603.26</v>
      </c>
      <c r="F33" s="78">
        <v>56600</v>
      </c>
      <c r="G33" s="78">
        <v>55000</v>
      </c>
      <c r="H33" s="78">
        <v>55000</v>
      </c>
      <c r="I33" s="78">
        <v>55000</v>
      </c>
      <c r="J33" s="79">
        <f t="shared" si="0"/>
        <v>19192.150773110359</v>
      </c>
      <c r="K33" s="79">
        <f t="shared" si="1"/>
        <v>7512.1109562678339</v>
      </c>
      <c r="L33" s="79">
        <f t="shared" si="2"/>
        <v>7299.7544628044325</v>
      </c>
      <c r="M33" s="79">
        <f t="shared" si="3"/>
        <v>17747.12553719557</v>
      </c>
      <c r="N33" s="80">
        <v>25046.880000000001</v>
      </c>
      <c r="O33" s="79">
        <v>25046.880000000001</v>
      </c>
      <c r="P33" s="79">
        <v>25046.880000000001</v>
      </c>
    </row>
    <row r="34" spans="1:16" ht="15.75" x14ac:dyDescent="0.25">
      <c r="A34" s="144">
        <v>34</v>
      </c>
      <c r="B34" s="145"/>
      <c r="C34" s="146"/>
      <c r="D34" s="85" t="s">
        <v>47</v>
      </c>
      <c r="E34" s="78">
        <v>52649.16</v>
      </c>
      <c r="F34" s="78">
        <v>9000</v>
      </c>
      <c r="G34" s="78">
        <v>100</v>
      </c>
      <c r="H34" s="78">
        <v>100</v>
      </c>
      <c r="I34" s="78">
        <v>100</v>
      </c>
      <c r="J34" s="79">
        <f t="shared" si="0"/>
        <v>6987.7443758709933</v>
      </c>
      <c r="K34" s="79">
        <f t="shared" si="1"/>
        <v>1194.5052757316344</v>
      </c>
      <c r="L34" s="79">
        <f t="shared" si="2"/>
        <v>13.272280841462605</v>
      </c>
      <c r="M34" s="79">
        <f t="shared" si="3"/>
        <v>-2.2808414626052098E-3</v>
      </c>
      <c r="N34" s="80">
        <v>13.27</v>
      </c>
      <c r="O34" s="79">
        <v>0</v>
      </c>
      <c r="P34" s="79">
        <v>0</v>
      </c>
    </row>
    <row r="35" spans="1:16" ht="15.75" x14ac:dyDescent="0.25">
      <c r="A35" s="86">
        <v>4</v>
      </c>
      <c r="B35" s="87"/>
      <c r="C35" s="88"/>
      <c r="D35" s="85" t="s">
        <v>102</v>
      </c>
      <c r="E35" s="78">
        <f>E36</f>
        <v>4000</v>
      </c>
      <c r="F35" s="78"/>
      <c r="G35" s="78"/>
      <c r="H35" s="78"/>
      <c r="I35" s="78"/>
      <c r="J35" s="79">
        <f t="shared" si="0"/>
        <v>530.89123365850423</v>
      </c>
      <c r="K35" s="79">
        <f t="shared" si="1"/>
        <v>0</v>
      </c>
      <c r="L35" s="79">
        <f t="shared" si="2"/>
        <v>0</v>
      </c>
      <c r="M35" s="79">
        <f t="shared" si="3"/>
        <v>0</v>
      </c>
      <c r="N35" s="80">
        <v>0</v>
      </c>
      <c r="O35" s="79">
        <v>0</v>
      </c>
      <c r="P35" s="79">
        <v>0</v>
      </c>
    </row>
    <row r="36" spans="1:16" ht="45" x14ac:dyDescent="0.25">
      <c r="A36" s="86">
        <v>42</v>
      </c>
      <c r="B36" s="87"/>
      <c r="C36" s="88"/>
      <c r="D36" s="85" t="s">
        <v>44</v>
      </c>
      <c r="E36" s="78">
        <v>4000</v>
      </c>
      <c r="F36" s="78"/>
      <c r="G36" s="78"/>
      <c r="H36" s="78"/>
      <c r="I36" s="78"/>
      <c r="J36" s="79">
        <f t="shared" si="0"/>
        <v>530.89123365850423</v>
      </c>
      <c r="K36" s="79">
        <f t="shared" si="1"/>
        <v>0</v>
      </c>
      <c r="L36" s="79">
        <f t="shared" si="2"/>
        <v>0</v>
      </c>
      <c r="M36" s="79">
        <f t="shared" si="3"/>
        <v>0</v>
      </c>
      <c r="N36" s="80">
        <v>0</v>
      </c>
      <c r="O36" s="79">
        <v>0</v>
      </c>
      <c r="P36" s="79">
        <v>0</v>
      </c>
    </row>
    <row r="37" spans="1:16" ht="47.25" x14ac:dyDescent="0.25">
      <c r="A37" s="150" t="s">
        <v>67</v>
      </c>
      <c r="B37" s="151"/>
      <c r="C37" s="152"/>
      <c r="D37" s="81" t="s">
        <v>68</v>
      </c>
      <c r="E37" s="78">
        <f>SUM(E38,E56,E62,E72,E42,E47,E52,E76)</f>
        <v>197980.43999999997</v>
      </c>
      <c r="F37" s="78">
        <f>SUM(F38,F56,F62,F72,F47,F52)</f>
        <v>701713.3</v>
      </c>
      <c r="G37" s="78">
        <f>SUM(G38,G56,G62,G72)</f>
        <v>477609.87</v>
      </c>
      <c r="H37" s="78">
        <f>SUM(H38,H56,H62,H72)</f>
        <v>477609.87</v>
      </c>
      <c r="I37" s="78">
        <f>SUM(I38,I56,I62,I72)</f>
        <v>477609.87</v>
      </c>
      <c r="J37" s="82">
        <f t="shared" si="0"/>
        <v>26276.520007963365</v>
      </c>
      <c r="K37" s="82">
        <f t="shared" si="1"/>
        <v>93133.359877895011</v>
      </c>
      <c r="L37" s="82">
        <f t="shared" si="2"/>
        <v>63389.723272944451</v>
      </c>
      <c r="M37" s="79">
        <f t="shared" si="3"/>
        <v>1210.3167270555496</v>
      </c>
      <c r="N37" s="83">
        <v>64600.04</v>
      </c>
      <c r="O37" s="82">
        <v>52410.17</v>
      </c>
      <c r="P37" s="82">
        <v>52410.17</v>
      </c>
    </row>
    <row r="38" spans="1:16" ht="31.5" x14ac:dyDescent="0.25">
      <c r="A38" s="150" t="s">
        <v>92</v>
      </c>
      <c r="B38" s="151"/>
      <c r="C38" s="152"/>
      <c r="D38" s="81" t="s">
        <v>93</v>
      </c>
      <c r="E38" s="78">
        <f>SUM(E40)</f>
        <v>0</v>
      </c>
      <c r="F38" s="78">
        <f>SUM(F40)</f>
        <v>181610</v>
      </c>
      <c r="G38" s="78">
        <f>SUM(G40)</f>
        <v>181611.59</v>
      </c>
      <c r="H38" s="78">
        <f>SUM(H40)</f>
        <v>181611.59</v>
      </c>
      <c r="I38" s="78">
        <f>SUM(I40)</f>
        <v>181611.59</v>
      </c>
      <c r="J38" s="79">
        <f t="shared" si="0"/>
        <v>0</v>
      </c>
      <c r="K38" s="79">
        <f t="shared" si="1"/>
        <v>24103.789236180237</v>
      </c>
      <c r="L38" s="79">
        <f t="shared" si="2"/>
        <v>24104.000265445615</v>
      </c>
      <c r="M38" s="79">
        <f t="shared" si="3"/>
        <v>4478.9397345543839</v>
      </c>
      <c r="N38" s="80">
        <v>28582.94</v>
      </c>
      <c r="O38" s="79">
        <v>28582.94</v>
      </c>
      <c r="P38" s="79">
        <v>28582.94</v>
      </c>
    </row>
    <row r="39" spans="1:16" ht="30" x14ac:dyDescent="0.25">
      <c r="A39" s="138" t="s">
        <v>75</v>
      </c>
      <c r="B39" s="139"/>
      <c r="C39" s="140"/>
      <c r="D39" s="84" t="s">
        <v>76</v>
      </c>
      <c r="E39" s="78"/>
      <c r="F39" s="78"/>
      <c r="G39" s="78"/>
      <c r="H39" s="78"/>
      <c r="I39" s="78"/>
      <c r="J39" s="79"/>
      <c r="K39" s="79"/>
      <c r="L39" s="79"/>
      <c r="M39" s="79">
        <f t="shared" si="3"/>
        <v>0</v>
      </c>
      <c r="N39" s="80"/>
      <c r="O39" s="79"/>
      <c r="P39" s="79"/>
    </row>
    <row r="40" spans="1:16" ht="15.75" x14ac:dyDescent="0.25">
      <c r="A40" s="141">
        <v>3</v>
      </c>
      <c r="B40" s="142"/>
      <c r="C40" s="143"/>
      <c r="D40" s="85" t="s">
        <v>19</v>
      </c>
      <c r="E40" s="78">
        <f>SUM(E41)</f>
        <v>0</v>
      </c>
      <c r="F40" s="78">
        <f>SUM(F41)</f>
        <v>181610</v>
      </c>
      <c r="G40" s="78">
        <f>SUM(G41)</f>
        <v>181611.59</v>
      </c>
      <c r="H40" s="78">
        <f>SUM(H41)</f>
        <v>181611.59</v>
      </c>
      <c r="I40" s="78">
        <f>SUM(I41)</f>
        <v>181611.59</v>
      </c>
      <c r="J40" s="79">
        <f t="shared" si="0"/>
        <v>0</v>
      </c>
      <c r="K40" s="79">
        <f t="shared" si="1"/>
        <v>24103.789236180237</v>
      </c>
      <c r="L40" s="79">
        <f t="shared" si="2"/>
        <v>24104.000265445615</v>
      </c>
      <c r="M40" s="79">
        <f t="shared" si="3"/>
        <v>4478.9397345543839</v>
      </c>
      <c r="N40" s="80">
        <v>28582.94</v>
      </c>
      <c r="O40" s="79">
        <v>28582.94</v>
      </c>
      <c r="P40" s="79">
        <v>28582.94</v>
      </c>
    </row>
    <row r="41" spans="1:16" ht="15.75" x14ac:dyDescent="0.25">
      <c r="A41" s="144">
        <v>32</v>
      </c>
      <c r="B41" s="145"/>
      <c r="C41" s="146"/>
      <c r="D41" s="85" t="s">
        <v>30</v>
      </c>
      <c r="E41" s="78">
        <v>0</v>
      </c>
      <c r="F41" s="78">
        <v>181610</v>
      </c>
      <c r="G41" s="78">
        <v>181611.59</v>
      </c>
      <c r="H41" s="78">
        <v>181611.59</v>
      </c>
      <c r="I41" s="78">
        <v>181611.59</v>
      </c>
      <c r="J41" s="79">
        <f t="shared" ref="J41:J72" si="6">E41/7.5345</f>
        <v>0</v>
      </c>
      <c r="K41" s="79">
        <f t="shared" ref="K41:K72" si="7">F41/7.5345</f>
        <v>24103.789236180237</v>
      </c>
      <c r="L41" s="79">
        <f t="shared" ref="L41:N72" si="8">G41/7.5345</f>
        <v>24104.000265445615</v>
      </c>
      <c r="M41" s="79">
        <f t="shared" si="3"/>
        <v>4478.9397345543839</v>
      </c>
      <c r="N41" s="80">
        <v>28582.94</v>
      </c>
      <c r="O41" s="79">
        <v>28582.94</v>
      </c>
      <c r="P41" s="79">
        <v>28582.94</v>
      </c>
    </row>
    <row r="42" spans="1:16" ht="15" customHeight="1" x14ac:dyDescent="0.25">
      <c r="A42" s="150" t="s">
        <v>103</v>
      </c>
      <c r="B42" s="151"/>
      <c r="C42" s="152"/>
      <c r="D42" s="89" t="s">
        <v>104</v>
      </c>
      <c r="E42" s="90">
        <f>SUM(E44)</f>
        <v>120490.79</v>
      </c>
      <c r="F42" s="78">
        <f>SUM(F44)</f>
        <v>0</v>
      </c>
      <c r="G42" s="78">
        <f>SUM(G44)</f>
        <v>0</v>
      </c>
      <c r="H42" s="78">
        <f>SUM(H44)</f>
        <v>0</v>
      </c>
      <c r="I42" s="78">
        <f>SUM(I44)</f>
        <v>0</v>
      </c>
      <c r="J42" s="79">
        <f t="shared" si="6"/>
        <v>15991.87603689694</v>
      </c>
      <c r="K42" s="79">
        <f t="shared" si="7"/>
        <v>0</v>
      </c>
      <c r="L42" s="79">
        <f t="shared" si="8"/>
        <v>0</v>
      </c>
      <c r="M42" s="79">
        <f t="shared" si="3"/>
        <v>0</v>
      </c>
      <c r="N42" s="80"/>
      <c r="O42" s="79">
        <f t="shared" ref="O42:O67" si="9">H42/7.5345</f>
        <v>0</v>
      </c>
      <c r="P42" s="79">
        <f t="shared" ref="P42:P67" si="10">I42/7.5345</f>
        <v>0</v>
      </c>
    </row>
    <row r="43" spans="1:16" ht="15" customHeight="1" x14ac:dyDescent="0.25">
      <c r="A43" s="171" t="s">
        <v>109</v>
      </c>
      <c r="B43" s="172"/>
      <c r="C43" s="172"/>
      <c r="D43" s="91" t="s">
        <v>108</v>
      </c>
      <c r="E43" s="92"/>
      <c r="F43" s="78"/>
      <c r="G43" s="78"/>
      <c r="H43" s="78"/>
      <c r="I43" s="78"/>
      <c r="J43" s="79"/>
      <c r="K43" s="79"/>
      <c r="L43" s="79"/>
      <c r="M43" s="79">
        <f t="shared" si="3"/>
        <v>0</v>
      </c>
      <c r="N43" s="80"/>
      <c r="O43" s="79"/>
      <c r="P43" s="79"/>
    </row>
    <row r="44" spans="1:16" ht="15.75" x14ac:dyDescent="0.25">
      <c r="A44" s="141">
        <v>3</v>
      </c>
      <c r="B44" s="142"/>
      <c r="C44" s="143"/>
      <c r="D44" s="93" t="s">
        <v>19</v>
      </c>
      <c r="E44" s="94">
        <f>SUM(E45:E46)</f>
        <v>120490.79</v>
      </c>
      <c r="F44" s="78">
        <f>F45+F46</f>
        <v>0</v>
      </c>
      <c r="G44" s="78">
        <f>G45+G46</f>
        <v>0</v>
      </c>
      <c r="H44" s="78">
        <f>H45+H46</f>
        <v>0</v>
      </c>
      <c r="I44" s="78">
        <f>I45+I46</f>
        <v>0</v>
      </c>
      <c r="J44" s="79">
        <f t="shared" si="6"/>
        <v>15991.87603689694</v>
      </c>
      <c r="K44" s="79">
        <f t="shared" si="7"/>
        <v>0</v>
      </c>
      <c r="L44" s="79">
        <f t="shared" si="8"/>
        <v>0</v>
      </c>
      <c r="M44" s="79">
        <f t="shared" si="3"/>
        <v>0</v>
      </c>
      <c r="N44" s="80">
        <f t="shared" si="8"/>
        <v>0</v>
      </c>
      <c r="O44" s="79">
        <f t="shared" si="9"/>
        <v>0</v>
      </c>
      <c r="P44" s="79">
        <f t="shared" si="10"/>
        <v>0</v>
      </c>
    </row>
    <row r="45" spans="1:16" ht="15.75" x14ac:dyDescent="0.25">
      <c r="A45" s="95">
        <v>31</v>
      </c>
      <c r="B45" s="96"/>
      <c r="C45" s="85"/>
      <c r="D45" s="85" t="s">
        <v>20</v>
      </c>
      <c r="E45" s="78">
        <v>105090.79</v>
      </c>
      <c r="F45" s="78">
        <v>0</v>
      </c>
      <c r="G45" s="78">
        <v>0</v>
      </c>
      <c r="H45" s="78">
        <v>0</v>
      </c>
      <c r="I45" s="78">
        <v>0</v>
      </c>
      <c r="J45" s="79">
        <f t="shared" si="6"/>
        <v>13947.944787311699</v>
      </c>
      <c r="K45" s="79">
        <f t="shared" si="7"/>
        <v>0</v>
      </c>
      <c r="L45" s="79">
        <f t="shared" si="8"/>
        <v>0</v>
      </c>
      <c r="M45" s="79">
        <f t="shared" si="3"/>
        <v>0</v>
      </c>
      <c r="N45" s="80">
        <f t="shared" si="8"/>
        <v>0</v>
      </c>
      <c r="O45" s="79">
        <f t="shared" si="9"/>
        <v>0</v>
      </c>
      <c r="P45" s="79">
        <f t="shared" si="10"/>
        <v>0</v>
      </c>
    </row>
    <row r="46" spans="1:16" ht="15.75" x14ac:dyDescent="0.25">
      <c r="A46" s="144">
        <v>32</v>
      </c>
      <c r="B46" s="145"/>
      <c r="C46" s="146"/>
      <c r="D46" s="85" t="s">
        <v>30</v>
      </c>
      <c r="E46" s="78">
        <v>15400</v>
      </c>
      <c r="F46" s="78">
        <v>0</v>
      </c>
      <c r="G46" s="78">
        <v>0</v>
      </c>
      <c r="H46" s="78">
        <v>0</v>
      </c>
      <c r="I46" s="78">
        <v>0</v>
      </c>
      <c r="J46" s="79">
        <f t="shared" si="6"/>
        <v>2043.9312495852412</v>
      </c>
      <c r="K46" s="79">
        <f t="shared" si="7"/>
        <v>0</v>
      </c>
      <c r="L46" s="79">
        <f t="shared" si="8"/>
        <v>0</v>
      </c>
      <c r="M46" s="79">
        <f t="shared" si="3"/>
        <v>0</v>
      </c>
      <c r="N46" s="80">
        <f t="shared" si="8"/>
        <v>0</v>
      </c>
      <c r="O46" s="79">
        <f t="shared" si="9"/>
        <v>0</v>
      </c>
      <c r="P46" s="79">
        <f t="shared" si="10"/>
        <v>0</v>
      </c>
    </row>
    <row r="47" spans="1:16" ht="15" customHeight="1" x14ac:dyDescent="0.25">
      <c r="A47" s="150" t="s">
        <v>106</v>
      </c>
      <c r="B47" s="151"/>
      <c r="C47" s="152"/>
      <c r="D47" s="81" t="s">
        <v>107</v>
      </c>
      <c r="E47" s="78">
        <f>SUM(E49)</f>
        <v>15000</v>
      </c>
      <c r="F47" s="78">
        <f>SUM(F49)</f>
        <v>15000</v>
      </c>
      <c r="G47" s="78">
        <f>SUM(G49)</f>
        <v>0</v>
      </c>
      <c r="H47" s="78">
        <f>SUM(H49)</f>
        <v>0</v>
      </c>
      <c r="I47" s="78">
        <f>SUM(I49)</f>
        <v>0</v>
      </c>
      <c r="J47" s="79">
        <f t="shared" si="6"/>
        <v>1990.8421262193906</v>
      </c>
      <c r="K47" s="79">
        <f t="shared" si="7"/>
        <v>1990.8421262193906</v>
      </c>
      <c r="L47" s="79">
        <f t="shared" si="8"/>
        <v>0</v>
      </c>
      <c r="M47" s="79">
        <f t="shared" si="3"/>
        <v>0</v>
      </c>
      <c r="N47" s="80">
        <f t="shared" si="8"/>
        <v>0</v>
      </c>
      <c r="O47" s="79">
        <f t="shared" si="9"/>
        <v>0</v>
      </c>
      <c r="P47" s="79">
        <f t="shared" si="10"/>
        <v>0</v>
      </c>
    </row>
    <row r="48" spans="1:16" ht="30" x14ac:dyDescent="0.25">
      <c r="A48" s="138" t="s">
        <v>75</v>
      </c>
      <c r="B48" s="139"/>
      <c r="C48" s="140"/>
      <c r="D48" s="84" t="s">
        <v>76</v>
      </c>
      <c r="E48" s="78"/>
      <c r="F48" s="78"/>
      <c r="G48" s="78"/>
      <c r="H48" s="78"/>
      <c r="I48" s="78"/>
      <c r="J48" s="79"/>
      <c r="K48" s="79"/>
      <c r="L48" s="79"/>
      <c r="M48" s="79">
        <f t="shared" si="3"/>
        <v>0</v>
      </c>
      <c r="N48" s="80"/>
      <c r="O48" s="79"/>
      <c r="P48" s="79"/>
    </row>
    <row r="49" spans="1:16" ht="15.75" x14ac:dyDescent="0.25">
      <c r="A49" s="141">
        <v>3</v>
      </c>
      <c r="B49" s="142"/>
      <c r="C49" s="143"/>
      <c r="D49" s="85" t="s">
        <v>19</v>
      </c>
      <c r="E49" s="78">
        <f>SUM(E50:E51)</f>
        <v>15000</v>
      </c>
      <c r="F49" s="78">
        <f>F50+F51</f>
        <v>15000</v>
      </c>
      <c r="G49" s="78">
        <f>G50+G51</f>
        <v>0</v>
      </c>
      <c r="H49" s="78">
        <f>H50+H51</f>
        <v>0</v>
      </c>
      <c r="I49" s="78">
        <f>I50+I51</f>
        <v>0</v>
      </c>
      <c r="J49" s="79">
        <f t="shared" si="6"/>
        <v>1990.8421262193906</v>
      </c>
      <c r="K49" s="79">
        <f t="shared" si="7"/>
        <v>1990.8421262193906</v>
      </c>
      <c r="L49" s="79">
        <f t="shared" si="8"/>
        <v>0</v>
      </c>
      <c r="M49" s="79">
        <f t="shared" si="3"/>
        <v>0</v>
      </c>
      <c r="N49" s="80">
        <f t="shared" si="8"/>
        <v>0</v>
      </c>
      <c r="O49" s="79">
        <f t="shared" si="9"/>
        <v>0</v>
      </c>
      <c r="P49" s="79">
        <f t="shared" si="10"/>
        <v>0</v>
      </c>
    </row>
    <row r="50" spans="1:16" ht="15.75" x14ac:dyDescent="0.25">
      <c r="A50" s="95">
        <v>31</v>
      </c>
      <c r="B50" s="96"/>
      <c r="C50" s="85"/>
      <c r="D50" s="85" t="s">
        <v>20</v>
      </c>
      <c r="E50" s="78">
        <v>1000</v>
      </c>
      <c r="F50" s="78">
        <v>2000</v>
      </c>
      <c r="G50" s="78">
        <v>0</v>
      </c>
      <c r="H50" s="78">
        <v>0</v>
      </c>
      <c r="I50" s="78">
        <v>0</v>
      </c>
      <c r="J50" s="79">
        <f t="shared" si="6"/>
        <v>132.72280841462606</v>
      </c>
      <c r="K50" s="79">
        <f t="shared" si="7"/>
        <v>265.44561682925212</v>
      </c>
      <c r="L50" s="79">
        <f t="shared" si="8"/>
        <v>0</v>
      </c>
      <c r="M50" s="79">
        <f t="shared" si="3"/>
        <v>0</v>
      </c>
      <c r="N50" s="80">
        <f t="shared" si="8"/>
        <v>0</v>
      </c>
      <c r="O50" s="79">
        <f t="shared" si="9"/>
        <v>0</v>
      </c>
      <c r="P50" s="79">
        <f t="shared" si="10"/>
        <v>0</v>
      </c>
    </row>
    <row r="51" spans="1:16" ht="15.75" x14ac:dyDescent="0.25">
      <c r="A51" s="144">
        <v>32</v>
      </c>
      <c r="B51" s="145"/>
      <c r="C51" s="146"/>
      <c r="D51" s="85" t="s">
        <v>30</v>
      </c>
      <c r="E51" s="78">
        <v>14000</v>
      </c>
      <c r="F51" s="78">
        <v>13000</v>
      </c>
      <c r="G51" s="78">
        <v>0</v>
      </c>
      <c r="H51" s="78">
        <v>0</v>
      </c>
      <c r="I51" s="78">
        <v>0</v>
      </c>
      <c r="J51" s="79">
        <f t="shared" si="6"/>
        <v>1858.1193178047647</v>
      </c>
      <c r="K51" s="79">
        <f t="shared" si="7"/>
        <v>1725.3965093901386</v>
      </c>
      <c r="L51" s="79">
        <f t="shared" si="8"/>
        <v>0</v>
      </c>
      <c r="M51" s="79">
        <f t="shared" si="3"/>
        <v>0</v>
      </c>
      <c r="N51" s="80">
        <f t="shared" si="8"/>
        <v>0</v>
      </c>
      <c r="O51" s="79">
        <f t="shared" si="9"/>
        <v>0</v>
      </c>
      <c r="P51" s="79">
        <f t="shared" si="10"/>
        <v>0</v>
      </c>
    </row>
    <row r="52" spans="1:16" ht="15" customHeight="1" x14ac:dyDescent="0.25">
      <c r="A52" s="150" t="s">
        <v>110</v>
      </c>
      <c r="B52" s="151"/>
      <c r="C52" s="152"/>
      <c r="D52" s="81" t="s">
        <v>111</v>
      </c>
      <c r="E52" s="78">
        <f>SUM(E54)</f>
        <v>1407.65</v>
      </c>
      <c r="F52" s="78">
        <f>SUM(F54)</f>
        <v>3409.8</v>
      </c>
      <c r="G52" s="78">
        <f>SUM(G54)</f>
        <v>0</v>
      </c>
      <c r="H52" s="78">
        <f>SUM(H54)</f>
        <v>0</v>
      </c>
      <c r="I52" s="78">
        <f>SUM(I54)</f>
        <v>0</v>
      </c>
      <c r="J52" s="79">
        <f t="shared" si="6"/>
        <v>186.82726126484837</v>
      </c>
      <c r="K52" s="79">
        <f t="shared" si="7"/>
        <v>452.5582321321919</v>
      </c>
      <c r="L52" s="79">
        <f t="shared" si="8"/>
        <v>0</v>
      </c>
      <c r="M52" s="79">
        <f t="shared" si="3"/>
        <v>0</v>
      </c>
      <c r="N52" s="80">
        <f t="shared" si="8"/>
        <v>0</v>
      </c>
      <c r="O52" s="79">
        <f t="shared" si="9"/>
        <v>0</v>
      </c>
      <c r="P52" s="79">
        <f t="shared" si="10"/>
        <v>0</v>
      </c>
    </row>
    <row r="53" spans="1:16" ht="45" x14ac:dyDescent="0.25">
      <c r="A53" s="159" t="s">
        <v>65</v>
      </c>
      <c r="B53" s="160"/>
      <c r="C53" s="161"/>
      <c r="D53" s="84" t="s">
        <v>66</v>
      </c>
      <c r="E53" s="78"/>
      <c r="F53" s="78"/>
      <c r="G53" s="78"/>
      <c r="H53" s="78"/>
      <c r="I53" s="78"/>
      <c r="J53" s="79"/>
      <c r="K53" s="79"/>
      <c r="L53" s="79"/>
      <c r="M53" s="79"/>
      <c r="N53" s="80"/>
      <c r="O53" s="79"/>
      <c r="P53" s="79"/>
    </row>
    <row r="54" spans="1:16" ht="15.75" x14ac:dyDescent="0.25">
      <c r="A54" s="141">
        <v>3</v>
      </c>
      <c r="B54" s="142"/>
      <c r="C54" s="143"/>
      <c r="D54" s="85" t="s">
        <v>19</v>
      </c>
      <c r="E54" s="78">
        <f>SUM(E55:E56)</f>
        <v>1407.65</v>
      </c>
      <c r="F54" s="78">
        <v>3409.8</v>
      </c>
      <c r="G54" s="78">
        <f>G55</f>
        <v>0</v>
      </c>
      <c r="H54" s="78">
        <f>H55</f>
        <v>0</v>
      </c>
      <c r="I54" s="78">
        <f>I55</f>
        <v>0</v>
      </c>
      <c r="J54" s="79">
        <f t="shared" si="6"/>
        <v>186.82726126484837</v>
      </c>
      <c r="K54" s="79">
        <f t="shared" si="7"/>
        <v>452.5582321321919</v>
      </c>
      <c r="L54" s="79">
        <f t="shared" si="8"/>
        <v>0</v>
      </c>
      <c r="M54" s="79">
        <f t="shared" si="3"/>
        <v>463.31</v>
      </c>
      <c r="N54" s="80">
        <v>463.31</v>
      </c>
      <c r="O54" s="79">
        <f t="shared" si="9"/>
        <v>0</v>
      </c>
      <c r="P54" s="79">
        <f t="shared" si="10"/>
        <v>0</v>
      </c>
    </row>
    <row r="55" spans="1:16" ht="15.75" x14ac:dyDescent="0.25">
      <c r="A55" s="95">
        <v>32</v>
      </c>
      <c r="B55" s="96"/>
      <c r="C55" s="85"/>
      <c r="D55" s="85" t="s">
        <v>30</v>
      </c>
      <c r="E55" s="78">
        <v>1407.65</v>
      </c>
      <c r="F55" s="78">
        <v>3409.8</v>
      </c>
      <c r="G55" s="78">
        <v>0</v>
      </c>
      <c r="H55" s="78">
        <v>0</v>
      </c>
      <c r="I55" s="78">
        <v>0</v>
      </c>
      <c r="J55" s="79">
        <f t="shared" si="6"/>
        <v>186.82726126484837</v>
      </c>
      <c r="K55" s="79">
        <f t="shared" si="7"/>
        <v>452.5582321321919</v>
      </c>
      <c r="L55" s="79">
        <f t="shared" si="8"/>
        <v>0</v>
      </c>
      <c r="M55" s="79">
        <f t="shared" si="3"/>
        <v>463.31</v>
      </c>
      <c r="N55" s="80">
        <v>463.31</v>
      </c>
      <c r="O55" s="79">
        <f t="shared" si="9"/>
        <v>0</v>
      </c>
      <c r="P55" s="79">
        <f t="shared" si="10"/>
        <v>0</v>
      </c>
    </row>
    <row r="56" spans="1:16" ht="15" customHeight="1" x14ac:dyDescent="0.25">
      <c r="A56" s="150" t="s">
        <v>94</v>
      </c>
      <c r="B56" s="151"/>
      <c r="C56" s="152"/>
      <c r="D56" s="81" t="s">
        <v>95</v>
      </c>
      <c r="E56" s="78">
        <f>SUM(E58)</f>
        <v>0</v>
      </c>
      <c r="F56" s="78">
        <f>SUM(F58)</f>
        <v>0</v>
      </c>
      <c r="G56" s="78">
        <f>SUM(G58)</f>
        <v>180000</v>
      </c>
      <c r="H56" s="78">
        <f>SUM(H58)</f>
        <v>180000</v>
      </c>
      <c r="I56" s="78">
        <f>SUM(I58)</f>
        <v>180000</v>
      </c>
      <c r="J56" s="79">
        <f t="shared" si="6"/>
        <v>0</v>
      </c>
      <c r="K56" s="79">
        <f t="shared" si="7"/>
        <v>0</v>
      </c>
      <c r="L56" s="79">
        <f t="shared" si="8"/>
        <v>23890.105514632687</v>
      </c>
      <c r="M56" s="79">
        <f t="shared" si="3"/>
        <v>-1390.1055146326871</v>
      </c>
      <c r="N56" s="80">
        <v>22500</v>
      </c>
      <c r="O56" s="79">
        <v>22500</v>
      </c>
      <c r="P56" s="79">
        <v>22500</v>
      </c>
    </row>
    <row r="57" spans="1:16" ht="27" customHeight="1" x14ac:dyDescent="0.25">
      <c r="A57" s="156" t="s">
        <v>60</v>
      </c>
      <c r="B57" s="157"/>
      <c r="C57" s="158"/>
      <c r="D57" s="84" t="s">
        <v>61</v>
      </c>
      <c r="E57" s="78"/>
      <c r="F57" s="78"/>
      <c r="G57" s="78"/>
      <c r="H57" s="78"/>
      <c r="I57" s="78"/>
      <c r="J57" s="79"/>
      <c r="K57" s="79"/>
      <c r="L57" s="79"/>
      <c r="M57" s="79">
        <f t="shared" si="3"/>
        <v>0</v>
      </c>
      <c r="N57" s="80"/>
      <c r="O57" s="79"/>
      <c r="P57" s="79"/>
    </row>
    <row r="58" spans="1:16" ht="15.75" x14ac:dyDescent="0.25">
      <c r="A58" s="141">
        <v>3</v>
      </c>
      <c r="B58" s="142"/>
      <c r="C58" s="143"/>
      <c r="D58" s="85" t="s">
        <v>19</v>
      </c>
      <c r="E58" s="78">
        <f>SUM(E60:E61)</f>
        <v>0</v>
      </c>
      <c r="F58" s="78">
        <f>SUM(F60+F59+F61)</f>
        <v>0</v>
      </c>
      <c r="G58" s="78">
        <f>SUM(G60+G59+G61)</f>
        <v>180000</v>
      </c>
      <c r="H58" s="78">
        <f>SUM(H60+H59+H61)</f>
        <v>180000</v>
      </c>
      <c r="I58" s="78">
        <f>SUM(I60+I59+I61)</f>
        <v>180000</v>
      </c>
      <c r="J58" s="79">
        <f t="shared" si="6"/>
        <v>0</v>
      </c>
      <c r="K58" s="79">
        <f t="shared" si="7"/>
        <v>0</v>
      </c>
      <c r="L58" s="79">
        <f t="shared" si="8"/>
        <v>23890.105514632687</v>
      </c>
      <c r="M58" s="79">
        <f t="shared" si="3"/>
        <v>-1390.1055146326871</v>
      </c>
      <c r="N58" s="80">
        <v>22500</v>
      </c>
      <c r="O58" s="79">
        <v>22500</v>
      </c>
      <c r="P58" s="79">
        <v>22500</v>
      </c>
    </row>
    <row r="59" spans="1:16" ht="15.75" x14ac:dyDescent="0.25">
      <c r="A59" s="95">
        <v>31</v>
      </c>
      <c r="B59" s="96"/>
      <c r="C59" s="85"/>
      <c r="D59" s="85" t="s">
        <v>20</v>
      </c>
      <c r="E59" s="78">
        <v>0</v>
      </c>
      <c r="F59" s="78">
        <v>0</v>
      </c>
      <c r="G59" s="78">
        <v>36000</v>
      </c>
      <c r="H59" s="78">
        <v>36000</v>
      </c>
      <c r="I59" s="78">
        <v>36000</v>
      </c>
      <c r="J59" s="79">
        <f t="shared" si="6"/>
        <v>0</v>
      </c>
      <c r="K59" s="79">
        <f t="shared" si="7"/>
        <v>0</v>
      </c>
      <c r="L59" s="79">
        <f t="shared" si="8"/>
        <v>4778.0211029265374</v>
      </c>
      <c r="M59" s="79">
        <f t="shared" si="3"/>
        <v>5671.9788970734626</v>
      </c>
      <c r="N59" s="80">
        <v>10450</v>
      </c>
      <c r="O59" s="79">
        <v>10450</v>
      </c>
      <c r="P59" s="79">
        <v>10450</v>
      </c>
    </row>
    <row r="60" spans="1:16" ht="15.75" x14ac:dyDescent="0.25">
      <c r="A60" s="144">
        <v>32</v>
      </c>
      <c r="B60" s="145"/>
      <c r="C60" s="146"/>
      <c r="D60" s="85" t="s">
        <v>30</v>
      </c>
      <c r="E60" s="78">
        <v>0</v>
      </c>
      <c r="F60" s="78">
        <v>0</v>
      </c>
      <c r="G60" s="78">
        <v>143700</v>
      </c>
      <c r="H60" s="78">
        <v>143700</v>
      </c>
      <c r="I60" s="78">
        <v>143700</v>
      </c>
      <c r="J60" s="79">
        <f t="shared" si="6"/>
        <v>0</v>
      </c>
      <c r="K60" s="79">
        <f t="shared" si="7"/>
        <v>0</v>
      </c>
      <c r="L60" s="79">
        <f t="shared" si="8"/>
        <v>19072.267569181764</v>
      </c>
      <c r="M60" s="79">
        <f t="shared" si="3"/>
        <v>-7072.267569181764</v>
      </c>
      <c r="N60" s="80">
        <v>12000</v>
      </c>
      <c r="O60" s="79">
        <v>12000</v>
      </c>
      <c r="P60" s="79">
        <v>12000</v>
      </c>
    </row>
    <row r="61" spans="1:16" ht="15.75" x14ac:dyDescent="0.25">
      <c r="A61" s="86">
        <v>34</v>
      </c>
      <c r="B61" s="87"/>
      <c r="C61" s="88"/>
      <c r="D61" s="85" t="s">
        <v>96</v>
      </c>
      <c r="E61" s="78">
        <v>0</v>
      </c>
      <c r="F61" s="78">
        <v>0</v>
      </c>
      <c r="G61" s="78">
        <v>300</v>
      </c>
      <c r="H61" s="78">
        <v>300</v>
      </c>
      <c r="I61" s="78">
        <v>300</v>
      </c>
      <c r="J61" s="79">
        <f t="shared" si="6"/>
        <v>0</v>
      </c>
      <c r="K61" s="79">
        <f t="shared" si="7"/>
        <v>0</v>
      </c>
      <c r="L61" s="79">
        <f t="shared" si="8"/>
        <v>39.816842524387816</v>
      </c>
      <c r="M61" s="79">
        <f t="shared" si="3"/>
        <v>10.183157475612184</v>
      </c>
      <c r="N61" s="80">
        <v>50</v>
      </c>
      <c r="O61" s="79">
        <v>50</v>
      </c>
      <c r="P61" s="79">
        <v>50</v>
      </c>
    </row>
    <row r="62" spans="1:16" ht="47.25" x14ac:dyDescent="0.25">
      <c r="A62" s="150" t="s">
        <v>69</v>
      </c>
      <c r="B62" s="151"/>
      <c r="C62" s="152"/>
      <c r="D62" s="81" t="s">
        <v>70</v>
      </c>
      <c r="E62" s="78">
        <f>SUM(E64+E69+E67)</f>
        <v>48082</v>
      </c>
      <c r="F62" s="78">
        <f>SUM(F64+F69)</f>
        <v>491693.5</v>
      </c>
      <c r="G62" s="78">
        <f>SUM(G64+G69)</f>
        <v>106000</v>
      </c>
      <c r="H62" s="78">
        <f>SUM(H64+H69)</f>
        <v>106000</v>
      </c>
      <c r="I62" s="78">
        <f>SUM(I64+I69)</f>
        <v>106000</v>
      </c>
      <c r="J62" s="79">
        <f t="shared" si="6"/>
        <v>6381.5780741920498</v>
      </c>
      <c r="K62" s="79">
        <f t="shared" si="7"/>
        <v>65258.94219921693</v>
      </c>
      <c r="L62" s="79">
        <f t="shared" si="8"/>
        <v>14068.617691950361</v>
      </c>
      <c r="M62" s="79">
        <f t="shared" si="3"/>
        <v>-2342.0576919503619</v>
      </c>
      <c r="N62" s="80">
        <v>11726.56</v>
      </c>
      <c r="O62" s="79">
        <v>0</v>
      </c>
      <c r="P62" s="79">
        <v>0</v>
      </c>
    </row>
    <row r="63" spans="1:16" ht="30" x14ac:dyDescent="0.25">
      <c r="A63" s="168" t="s">
        <v>71</v>
      </c>
      <c r="B63" s="169"/>
      <c r="C63" s="170"/>
      <c r="D63" s="84" t="s">
        <v>72</v>
      </c>
      <c r="E63" s="78"/>
      <c r="F63" s="78"/>
      <c r="G63" s="78"/>
      <c r="H63" s="78"/>
      <c r="I63" s="78"/>
      <c r="J63" s="79"/>
      <c r="K63" s="79"/>
      <c r="L63" s="79"/>
      <c r="M63" s="79">
        <f t="shared" si="3"/>
        <v>0</v>
      </c>
      <c r="N63" s="80"/>
      <c r="O63" s="79"/>
      <c r="P63" s="79"/>
    </row>
    <row r="64" spans="1:16" ht="15.75" x14ac:dyDescent="0.25">
      <c r="A64" s="141">
        <v>3</v>
      </c>
      <c r="B64" s="142"/>
      <c r="C64" s="143"/>
      <c r="D64" s="85" t="s">
        <v>19</v>
      </c>
      <c r="E64" s="78">
        <f>SUM(E65:E66)</f>
        <v>47365.64</v>
      </c>
      <c r="F64" s="78">
        <f>SUM(F65:F66:F67)</f>
        <v>473193.5</v>
      </c>
      <c r="G64" s="78">
        <f>SUM(G65:G66)</f>
        <v>55000</v>
      </c>
      <c r="H64" s="78">
        <f>SUM(H65:H66)</f>
        <v>55000</v>
      </c>
      <c r="I64" s="78">
        <f>SUM(I65:I66)</f>
        <v>55000</v>
      </c>
      <c r="J64" s="79">
        <f t="shared" si="6"/>
        <v>6286.5007631561475</v>
      </c>
      <c r="K64" s="79">
        <f t="shared" si="7"/>
        <v>62803.570243546346</v>
      </c>
      <c r="L64" s="79">
        <f t="shared" si="8"/>
        <v>7299.7544628044325</v>
      </c>
      <c r="M64" s="79">
        <f t="shared" si="3"/>
        <v>1250.435537195568</v>
      </c>
      <c r="N64" s="80">
        <v>8550.19</v>
      </c>
      <c r="O64" s="79">
        <v>0</v>
      </c>
      <c r="P64" s="79">
        <v>0</v>
      </c>
    </row>
    <row r="65" spans="1:16" ht="15.75" x14ac:dyDescent="0.25">
      <c r="A65" s="95">
        <v>31</v>
      </c>
      <c r="B65" s="96"/>
      <c r="C65" s="85"/>
      <c r="D65" s="85" t="s">
        <v>20</v>
      </c>
      <c r="E65" s="78">
        <v>9500</v>
      </c>
      <c r="F65" s="78">
        <v>21195.5</v>
      </c>
      <c r="G65" s="78">
        <v>25000</v>
      </c>
      <c r="H65" s="78">
        <v>25000</v>
      </c>
      <c r="I65" s="78">
        <v>25000</v>
      </c>
      <c r="J65" s="79">
        <f t="shared" si="6"/>
        <v>1260.8666799389475</v>
      </c>
      <c r="K65" s="79">
        <f t="shared" si="7"/>
        <v>2813.1262857522065</v>
      </c>
      <c r="L65" s="79">
        <f t="shared" si="8"/>
        <v>3318.0702103656513</v>
      </c>
      <c r="M65" s="79">
        <f t="shared" si="3"/>
        <v>1682.2097896343485</v>
      </c>
      <c r="N65" s="80">
        <v>5000.28</v>
      </c>
      <c r="O65" s="79">
        <v>0</v>
      </c>
      <c r="P65" s="79">
        <v>0</v>
      </c>
    </row>
    <row r="66" spans="1:16" ht="15.75" x14ac:dyDescent="0.25">
      <c r="A66" s="144">
        <v>32</v>
      </c>
      <c r="B66" s="145"/>
      <c r="C66" s="146"/>
      <c r="D66" s="85" t="s">
        <v>30</v>
      </c>
      <c r="E66" s="78">
        <v>37865.64</v>
      </c>
      <c r="F66" s="78">
        <v>448298</v>
      </c>
      <c r="G66" s="78">
        <v>30000</v>
      </c>
      <c r="H66" s="78">
        <v>30000</v>
      </c>
      <c r="I66" s="78">
        <v>30000</v>
      </c>
      <c r="J66" s="79">
        <f t="shared" si="6"/>
        <v>5025.6340832172009</v>
      </c>
      <c r="K66" s="79">
        <f t="shared" si="7"/>
        <v>59499.369566660025</v>
      </c>
      <c r="L66" s="79">
        <f t="shared" si="8"/>
        <v>3981.6842524387812</v>
      </c>
      <c r="M66" s="79">
        <f t="shared" si="3"/>
        <v>-431.77425243878133</v>
      </c>
      <c r="N66" s="80">
        <v>3549.91</v>
      </c>
      <c r="O66" s="79">
        <v>0</v>
      </c>
      <c r="P66" s="79">
        <v>0</v>
      </c>
    </row>
    <row r="67" spans="1:16" ht="15.75" x14ac:dyDescent="0.25">
      <c r="A67" s="86">
        <v>34</v>
      </c>
      <c r="B67" s="87"/>
      <c r="C67" s="88"/>
      <c r="D67" s="85" t="s">
        <v>47</v>
      </c>
      <c r="E67" s="78">
        <v>716.36</v>
      </c>
      <c r="F67" s="78">
        <v>3700</v>
      </c>
      <c r="G67" s="78"/>
      <c r="H67" s="78"/>
      <c r="I67" s="78"/>
      <c r="J67" s="79">
        <f t="shared" si="6"/>
        <v>95.077311035901516</v>
      </c>
      <c r="K67" s="79">
        <f t="shared" si="7"/>
        <v>491.07439113411635</v>
      </c>
      <c r="L67" s="79">
        <f t="shared" si="8"/>
        <v>0</v>
      </c>
      <c r="M67" s="79">
        <f t="shared" si="3"/>
        <v>0</v>
      </c>
      <c r="N67" s="80">
        <v>0</v>
      </c>
      <c r="O67" s="79">
        <f t="shared" si="9"/>
        <v>0</v>
      </c>
      <c r="P67" s="79">
        <f t="shared" si="10"/>
        <v>0</v>
      </c>
    </row>
    <row r="68" spans="1:16" ht="45" x14ac:dyDescent="0.25">
      <c r="A68" s="162" t="s">
        <v>97</v>
      </c>
      <c r="B68" s="163"/>
      <c r="C68" s="164"/>
      <c r="D68" s="84" t="s">
        <v>84</v>
      </c>
      <c r="E68" s="78"/>
      <c r="F68" s="78"/>
      <c r="G68" s="78"/>
      <c r="H68" s="78"/>
      <c r="I68" s="78"/>
      <c r="J68" s="79"/>
      <c r="K68" s="79"/>
      <c r="L68" s="79"/>
      <c r="M68" s="79"/>
      <c r="N68" s="80"/>
      <c r="O68" s="79"/>
      <c r="P68" s="79"/>
    </row>
    <row r="69" spans="1:16" ht="15.75" x14ac:dyDescent="0.25">
      <c r="A69" s="141">
        <v>3</v>
      </c>
      <c r="B69" s="142"/>
      <c r="C69" s="143"/>
      <c r="D69" s="85" t="s">
        <v>19</v>
      </c>
      <c r="E69" s="78">
        <f>SUM(E70:E71)</f>
        <v>0</v>
      </c>
      <c r="F69" s="78">
        <f>SUM(F70:F71)</f>
        <v>18500</v>
      </c>
      <c r="G69" s="78">
        <f>SUM(G70:G71)</f>
        <v>51000</v>
      </c>
      <c r="H69" s="78">
        <f>SUM(H70:H71)</f>
        <v>51000</v>
      </c>
      <c r="I69" s="78">
        <f>SUM(I70:I71)</f>
        <v>51000</v>
      </c>
      <c r="J69" s="79">
        <f t="shared" si="6"/>
        <v>0</v>
      </c>
      <c r="K69" s="79">
        <f t="shared" si="7"/>
        <v>2455.3719556705819</v>
      </c>
      <c r="L69" s="79">
        <f t="shared" si="8"/>
        <v>6768.863229145928</v>
      </c>
      <c r="M69" s="79">
        <f t="shared" si="3"/>
        <v>-3592.4932291459281</v>
      </c>
      <c r="N69" s="80">
        <v>3176.37</v>
      </c>
      <c r="O69" s="79">
        <v>0</v>
      </c>
      <c r="P69" s="79">
        <v>0</v>
      </c>
    </row>
    <row r="70" spans="1:16" ht="15.75" x14ac:dyDescent="0.25">
      <c r="A70" s="97">
        <v>31</v>
      </c>
      <c r="B70" s="96"/>
      <c r="C70" s="85"/>
      <c r="D70" s="85" t="s">
        <v>20</v>
      </c>
      <c r="E70" s="78">
        <v>0</v>
      </c>
      <c r="F70" s="78">
        <v>6500</v>
      </c>
      <c r="G70" s="78">
        <v>20000</v>
      </c>
      <c r="H70" s="78">
        <v>20000</v>
      </c>
      <c r="I70" s="78">
        <v>20000</v>
      </c>
      <c r="J70" s="79">
        <f t="shared" si="6"/>
        <v>0</v>
      </c>
      <c r="K70" s="79">
        <f t="shared" si="7"/>
        <v>862.69825469506929</v>
      </c>
      <c r="L70" s="79">
        <f t="shared" si="8"/>
        <v>2654.4561682925209</v>
      </c>
      <c r="M70" s="79">
        <f t="shared" si="3"/>
        <v>-914.56616829252084</v>
      </c>
      <c r="N70" s="80">
        <v>1739.89</v>
      </c>
      <c r="O70" s="79">
        <v>0</v>
      </c>
      <c r="P70" s="79">
        <v>0</v>
      </c>
    </row>
    <row r="71" spans="1:16" ht="15.75" x14ac:dyDescent="0.25">
      <c r="A71" s="144">
        <v>32</v>
      </c>
      <c r="B71" s="145"/>
      <c r="C71" s="146"/>
      <c r="D71" s="85" t="s">
        <v>30</v>
      </c>
      <c r="E71" s="78">
        <v>0</v>
      </c>
      <c r="F71" s="78">
        <v>12000</v>
      </c>
      <c r="G71" s="78">
        <v>31000</v>
      </c>
      <c r="H71" s="78">
        <v>31000</v>
      </c>
      <c r="I71" s="78">
        <v>31000</v>
      </c>
      <c r="J71" s="79">
        <f t="shared" si="6"/>
        <v>0</v>
      </c>
      <c r="K71" s="79">
        <f t="shared" si="7"/>
        <v>1592.6737009755125</v>
      </c>
      <c r="L71" s="79">
        <f t="shared" si="8"/>
        <v>4114.4070608534075</v>
      </c>
      <c r="M71" s="79">
        <f t="shared" ref="M71:M126" si="11">N71-L71</f>
        <v>-2677.9270608534075</v>
      </c>
      <c r="N71" s="80">
        <v>1436.48</v>
      </c>
      <c r="O71" s="79">
        <v>0</v>
      </c>
      <c r="P71" s="79">
        <v>0</v>
      </c>
    </row>
    <row r="72" spans="1:16" ht="15.75" x14ac:dyDescent="0.25">
      <c r="A72" s="150" t="s">
        <v>73</v>
      </c>
      <c r="B72" s="151"/>
      <c r="C72" s="152"/>
      <c r="D72" s="81" t="s">
        <v>74</v>
      </c>
      <c r="E72" s="78">
        <f>SUM(E74)</f>
        <v>0</v>
      </c>
      <c r="F72" s="78">
        <f>SUM(F74)</f>
        <v>10000</v>
      </c>
      <c r="G72" s="78">
        <f>SUM(G74)</f>
        <v>9998.2800000000007</v>
      </c>
      <c r="H72" s="78">
        <f>SUM(H74)</f>
        <v>9998.2800000000007</v>
      </c>
      <c r="I72" s="78">
        <f>SUM(I74)</f>
        <v>9998.2800000000007</v>
      </c>
      <c r="J72" s="79">
        <f t="shared" si="6"/>
        <v>0</v>
      </c>
      <c r="K72" s="79">
        <f t="shared" si="7"/>
        <v>1327.2280841462605</v>
      </c>
      <c r="L72" s="79">
        <f t="shared" si="8"/>
        <v>1326.9998009157873</v>
      </c>
      <c r="M72" s="79">
        <f t="shared" si="11"/>
        <v>0.23019908421269974</v>
      </c>
      <c r="N72" s="80">
        <v>1327.23</v>
      </c>
      <c r="O72" s="79">
        <v>1327.23</v>
      </c>
      <c r="P72" s="79">
        <v>1327.23</v>
      </c>
    </row>
    <row r="73" spans="1:16" ht="30" x14ac:dyDescent="0.25">
      <c r="A73" s="138" t="s">
        <v>75</v>
      </c>
      <c r="B73" s="139"/>
      <c r="C73" s="140"/>
      <c r="D73" s="84" t="s">
        <v>76</v>
      </c>
      <c r="E73" s="78"/>
      <c r="F73" s="78"/>
      <c r="G73" s="78"/>
      <c r="H73" s="78"/>
      <c r="I73" s="78"/>
      <c r="J73" s="79"/>
      <c r="K73" s="79"/>
      <c r="L73" s="79"/>
      <c r="M73" s="79">
        <f t="shared" si="11"/>
        <v>0</v>
      </c>
      <c r="N73" s="80"/>
      <c r="O73" s="79"/>
      <c r="P73" s="79"/>
    </row>
    <row r="74" spans="1:16" ht="15.75" x14ac:dyDescent="0.25">
      <c r="A74" s="141">
        <v>3</v>
      </c>
      <c r="B74" s="142"/>
      <c r="C74" s="143"/>
      <c r="D74" s="85" t="s">
        <v>19</v>
      </c>
      <c r="E74" s="78">
        <f>SUM(E75)</f>
        <v>0</v>
      </c>
      <c r="F74" s="78">
        <f>SUM(F75)</f>
        <v>10000</v>
      </c>
      <c r="G74" s="78">
        <f>SUM(G75)</f>
        <v>9998.2800000000007</v>
      </c>
      <c r="H74" s="78">
        <f>SUM(H75)</f>
        <v>9998.2800000000007</v>
      </c>
      <c r="I74" s="78">
        <f>SUM(I75)</f>
        <v>9998.2800000000007</v>
      </c>
      <c r="J74" s="79">
        <f t="shared" ref="J74:J107" si="12">E74/7.5345</f>
        <v>0</v>
      </c>
      <c r="K74" s="79">
        <f t="shared" ref="K74:K107" si="13">F74/7.5345</f>
        <v>1327.2280841462605</v>
      </c>
      <c r="L74" s="79">
        <f t="shared" ref="L74:L107" si="14">G74/7.5345</f>
        <v>1326.9998009157873</v>
      </c>
      <c r="M74" s="79">
        <f t="shared" si="11"/>
        <v>0.23019908421269974</v>
      </c>
      <c r="N74" s="80">
        <v>1327.23</v>
      </c>
      <c r="O74" s="79">
        <v>1327.23</v>
      </c>
      <c r="P74" s="79">
        <v>1327.23</v>
      </c>
    </row>
    <row r="75" spans="1:16" ht="15.75" x14ac:dyDescent="0.25">
      <c r="A75" s="144">
        <v>32</v>
      </c>
      <c r="B75" s="145"/>
      <c r="C75" s="146"/>
      <c r="D75" s="85" t="s">
        <v>30</v>
      </c>
      <c r="E75" s="78">
        <v>0</v>
      </c>
      <c r="F75" s="78">
        <v>10000</v>
      </c>
      <c r="G75" s="78">
        <v>9998.2800000000007</v>
      </c>
      <c r="H75" s="78">
        <v>9998.2800000000007</v>
      </c>
      <c r="I75" s="78">
        <v>9998.2800000000007</v>
      </c>
      <c r="J75" s="79">
        <f t="shared" si="12"/>
        <v>0</v>
      </c>
      <c r="K75" s="79">
        <f t="shared" si="13"/>
        <v>1327.2280841462605</v>
      </c>
      <c r="L75" s="79">
        <f t="shared" si="14"/>
        <v>1326.9998009157873</v>
      </c>
      <c r="M75" s="79">
        <f t="shared" si="11"/>
        <v>0.23019908421269974</v>
      </c>
      <c r="N75" s="80">
        <v>1327.23</v>
      </c>
      <c r="O75" s="79">
        <v>1327.23</v>
      </c>
      <c r="P75" s="79">
        <v>1327.23</v>
      </c>
    </row>
    <row r="76" spans="1:16" ht="31.5" x14ac:dyDescent="0.25">
      <c r="A76" s="150" t="s">
        <v>112</v>
      </c>
      <c r="B76" s="151"/>
      <c r="C76" s="152"/>
      <c r="D76" s="81" t="s">
        <v>113</v>
      </c>
      <c r="E76" s="78">
        <f>SUM(E78)</f>
        <v>13000</v>
      </c>
      <c r="F76" s="78">
        <f>SUM(F78)</f>
        <v>0</v>
      </c>
      <c r="G76" s="78">
        <f>SUM(G78)</f>
        <v>0</v>
      </c>
      <c r="H76" s="78">
        <f>SUM(H78)</f>
        <v>0</v>
      </c>
      <c r="I76" s="78">
        <f>SUM(I78)</f>
        <v>0</v>
      </c>
      <c r="J76" s="79">
        <f t="shared" si="12"/>
        <v>1725.3965093901386</v>
      </c>
      <c r="K76" s="79">
        <f t="shared" si="13"/>
        <v>0</v>
      </c>
      <c r="L76" s="79">
        <f t="shared" si="14"/>
        <v>0</v>
      </c>
      <c r="M76" s="79">
        <f t="shared" si="11"/>
        <v>0</v>
      </c>
      <c r="N76" s="80">
        <v>0</v>
      </c>
      <c r="O76" s="79">
        <f t="shared" ref="O76:O102" si="15">H76/7.5345</f>
        <v>0</v>
      </c>
      <c r="P76" s="79">
        <f t="shared" ref="P76:P102" si="16">I76/7.5345</f>
        <v>0</v>
      </c>
    </row>
    <row r="77" spans="1:16" ht="30" customHeight="1" x14ac:dyDescent="0.25">
      <c r="A77" s="138" t="s">
        <v>75</v>
      </c>
      <c r="B77" s="139"/>
      <c r="C77" s="140"/>
      <c r="D77" s="84" t="s">
        <v>76</v>
      </c>
      <c r="E77" s="78"/>
      <c r="F77" s="78"/>
      <c r="G77" s="78"/>
      <c r="H77" s="78"/>
      <c r="I77" s="78"/>
      <c r="J77" s="79"/>
      <c r="K77" s="79"/>
      <c r="L77" s="79"/>
      <c r="M77" s="79">
        <f t="shared" si="11"/>
        <v>0</v>
      </c>
      <c r="N77" s="80"/>
      <c r="O77" s="79"/>
      <c r="P77" s="79"/>
    </row>
    <row r="78" spans="1:16" ht="15.75" x14ac:dyDescent="0.25">
      <c r="A78" s="141">
        <v>3</v>
      </c>
      <c r="B78" s="142"/>
      <c r="C78" s="143"/>
      <c r="D78" s="85" t="s">
        <v>19</v>
      </c>
      <c r="E78" s="78">
        <f>SUM(E79:E80)</f>
        <v>13000</v>
      </c>
      <c r="F78" s="78">
        <f>SUM(F80+F79)</f>
        <v>0</v>
      </c>
      <c r="G78" s="78">
        <f>SUM(G80+G79)</f>
        <v>0</v>
      </c>
      <c r="H78" s="78">
        <f>SUM(H80+H79)</f>
        <v>0</v>
      </c>
      <c r="I78" s="78">
        <f>SUM(I80+I79)</f>
        <v>0</v>
      </c>
      <c r="J78" s="79">
        <f t="shared" si="12"/>
        <v>1725.3965093901386</v>
      </c>
      <c r="K78" s="79">
        <f t="shared" si="13"/>
        <v>0</v>
      </c>
      <c r="L78" s="79">
        <f t="shared" si="14"/>
        <v>0</v>
      </c>
      <c r="M78" s="79">
        <f t="shared" si="11"/>
        <v>0</v>
      </c>
      <c r="N78" s="80">
        <v>0</v>
      </c>
      <c r="O78" s="79">
        <f t="shared" si="15"/>
        <v>0</v>
      </c>
      <c r="P78" s="79">
        <f t="shared" si="16"/>
        <v>0</v>
      </c>
    </row>
    <row r="79" spans="1:16" ht="15.75" x14ac:dyDescent="0.25">
      <c r="A79" s="95">
        <v>31</v>
      </c>
      <c r="B79" s="96"/>
      <c r="C79" s="85"/>
      <c r="D79" s="85" t="s">
        <v>20</v>
      </c>
      <c r="E79" s="78">
        <v>3940</v>
      </c>
      <c r="F79" s="78">
        <v>0</v>
      </c>
      <c r="G79" s="78">
        <v>0</v>
      </c>
      <c r="H79" s="78">
        <v>0</v>
      </c>
      <c r="I79" s="78">
        <v>0</v>
      </c>
      <c r="J79" s="79">
        <f t="shared" si="12"/>
        <v>522.92786515362661</v>
      </c>
      <c r="K79" s="79">
        <f t="shared" si="13"/>
        <v>0</v>
      </c>
      <c r="L79" s="79">
        <f t="shared" si="14"/>
        <v>0</v>
      </c>
      <c r="M79" s="79">
        <f t="shared" si="11"/>
        <v>0</v>
      </c>
      <c r="N79" s="80">
        <v>0</v>
      </c>
      <c r="O79" s="79">
        <f t="shared" si="15"/>
        <v>0</v>
      </c>
      <c r="P79" s="79">
        <f t="shared" si="16"/>
        <v>0</v>
      </c>
    </row>
    <row r="80" spans="1:16" ht="15.75" x14ac:dyDescent="0.25">
      <c r="A80" s="144">
        <v>32</v>
      </c>
      <c r="B80" s="145"/>
      <c r="C80" s="146"/>
      <c r="D80" s="85" t="s">
        <v>30</v>
      </c>
      <c r="E80" s="78">
        <v>9060</v>
      </c>
      <c r="F80" s="78">
        <v>0</v>
      </c>
      <c r="G80" s="78">
        <v>0</v>
      </c>
      <c r="H80" s="78">
        <v>0</v>
      </c>
      <c r="I80" s="78">
        <v>0</v>
      </c>
      <c r="J80" s="79">
        <f t="shared" si="12"/>
        <v>1202.4686442365121</v>
      </c>
      <c r="K80" s="79">
        <f t="shared" si="13"/>
        <v>0</v>
      </c>
      <c r="L80" s="79">
        <f t="shared" si="14"/>
        <v>0</v>
      </c>
      <c r="M80" s="79">
        <f t="shared" si="11"/>
        <v>0</v>
      </c>
      <c r="N80" s="80">
        <v>0</v>
      </c>
      <c r="O80" s="79">
        <f t="shared" si="15"/>
        <v>0</v>
      </c>
      <c r="P80" s="79">
        <f t="shared" si="16"/>
        <v>0</v>
      </c>
    </row>
    <row r="81" spans="1:16" ht="47.25" x14ac:dyDescent="0.25">
      <c r="A81" s="150" t="s">
        <v>114</v>
      </c>
      <c r="B81" s="151"/>
      <c r="C81" s="152"/>
      <c r="D81" s="81" t="s">
        <v>68</v>
      </c>
      <c r="E81" s="78">
        <f>E82</f>
        <v>8220.94</v>
      </c>
      <c r="F81" s="78">
        <f>SUM(F82)</f>
        <v>0</v>
      </c>
      <c r="G81" s="78">
        <f>SUM(G82)</f>
        <v>0</v>
      </c>
      <c r="H81" s="78">
        <f>SUM(H82)</f>
        <v>0</v>
      </c>
      <c r="I81" s="78">
        <f>SUM(I82)</f>
        <v>0</v>
      </c>
      <c r="J81" s="82">
        <f t="shared" si="12"/>
        <v>1091.106244608136</v>
      </c>
      <c r="K81" s="82">
        <f t="shared" si="13"/>
        <v>0</v>
      </c>
      <c r="L81" s="82">
        <f t="shared" si="14"/>
        <v>0</v>
      </c>
      <c r="M81" s="79">
        <f t="shared" si="11"/>
        <v>1079.32</v>
      </c>
      <c r="N81" s="83">
        <v>1079.32</v>
      </c>
      <c r="O81" s="82">
        <f t="shared" si="15"/>
        <v>0</v>
      </c>
      <c r="P81" s="82">
        <f t="shared" si="16"/>
        <v>0</v>
      </c>
    </row>
    <row r="82" spans="1:16" ht="31.5" x14ac:dyDescent="0.25">
      <c r="A82" s="150" t="s">
        <v>115</v>
      </c>
      <c r="B82" s="151"/>
      <c r="C82" s="152"/>
      <c r="D82" s="81" t="s">
        <v>116</v>
      </c>
      <c r="E82" s="78">
        <f>SUM(E84)</f>
        <v>8220.94</v>
      </c>
      <c r="F82" s="78">
        <f>SUM(F84)</f>
        <v>0</v>
      </c>
      <c r="G82" s="78">
        <f>SUM(G84)</f>
        <v>0</v>
      </c>
      <c r="H82" s="78">
        <f>SUM(H84)</f>
        <v>0</v>
      </c>
      <c r="I82" s="78">
        <f>SUM(I84)</f>
        <v>0</v>
      </c>
      <c r="J82" s="79">
        <f t="shared" si="12"/>
        <v>1091.106244608136</v>
      </c>
      <c r="K82" s="79">
        <f t="shared" si="13"/>
        <v>0</v>
      </c>
      <c r="L82" s="79">
        <f t="shared" si="14"/>
        <v>0</v>
      </c>
      <c r="M82" s="79">
        <f t="shared" si="11"/>
        <v>0</v>
      </c>
      <c r="N82" s="80">
        <v>0</v>
      </c>
      <c r="O82" s="79">
        <f t="shared" si="15"/>
        <v>0</v>
      </c>
      <c r="P82" s="79">
        <f t="shared" si="16"/>
        <v>0</v>
      </c>
    </row>
    <row r="83" spans="1:16" ht="30" x14ac:dyDescent="0.25">
      <c r="A83" s="138" t="s">
        <v>75</v>
      </c>
      <c r="B83" s="139"/>
      <c r="C83" s="140"/>
      <c r="D83" s="84" t="s">
        <v>76</v>
      </c>
      <c r="E83" s="78"/>
      <c r="F83" s="78"/>
      <c r="G83" s="78"/>
      <c r="H83" s="78"/>
      <c r="I83" s="78"/>
      <c r="J83" s="79"/>
      <c r="K83" s="79"/>
      <c r="L83" s="79"/>
      <c r="M83" s="79">
        <f t="shared" si="11"/>
        <v>0</v>
      </c>
      <c r="N83" s="80"/>
      <c r="O83" s="79"/>
      <c r="P83" s="79"/>
    </row>
    <row r="84" spans="1:16" ht="15.75" x14ac:dyDescent="0.25">
      <c r="A84" s="141">
        <v>3</v>
      </c>
      <c r="B84" s="142"/>
      <c r="C84" s="143"/>
      <c r="D84" s="85" t="s">
        <v>19</v>
      </c>
      <c r="E84" s="78">
        <f>SUM(E85)</f>
        <v>8220.94</v>
      </c>
      <c r="F84" s="78">
        <v>0</v>
      </c>
      <c r="G84" s="78">
        <v>0</v>
      </c>
      <c r="H84" s="78">
        <v>0</v>
      </c>
      <c r="I84" s="78">
        <v>0</v>
      </c>
      <c r="J84" s="79">
        <f t="shared" si="12"/>
        <v>1091.106244608136</v>
      </c>
      <c r="K84" s="79">
        <f t="shared" si="13"/>
        <v>0</v>
      </c>
      <c r="L84" s="79">
        <f t="shared" si="14"/>
        <v>0</v>
      </c>
      <c r="M84" s="79">
        <f t="shared" si="11"/>
        <v>0</v>
      </c>
      <c r="N84" s="80">
        <v>0</v>
      </c>
      <c r="O84" s="79">
        <f t="shared" si="15"/>
        <v>0</v>
      </c>
      <c r="P84" s="79">
        <f t="shared" si="16"/>
        <v>0</v>
      </c>
    </row>
    <row r="85" spans="1:16" ht="15.75" x14ac:dyDescent="0.25">
      <c r="A85" s="144">
        <v>32</v>
      </c>
      <c r="B85" s="145"/>
      <c r="C85" s="146"/>
      <c r="D85" s="85" t="s">
        <v>30</v>
      </c>
      <c r="E85" s="78">
        <v>8220.94</v>
      </c>
      <c r="F85" s="78">
        <v>0</v>
      </c>
      <c r="G85" s="78">
        <v>0</v>
      </c>
      <c r="H85" s="78">
        <v>0</v>
      </c>
      <c r="I85" s="78">
        <v>0</v>
      </c>
      <c r="J85" s="79">
        <f t="shared" si="12"/>
        <v>1091.106244608136</v>
      </c>
      <c r="K85" s="79">
        <f t="shared" si="13"/>
        <v>0</v>
      </c>
      <c r="L85" s="79">
        <f t="shared" si="14"/>
        <v>0</v>
      </c>
      <c r="M85" s="79">
        <f t="shared" si="11"/>
        <v>0</v>
      </c>
      <c r="N85" s="80">
        <v>0</v>
      </c>
      <c r="O85" s="79">
        <f t="shared" si="15"/>
        <v>0</v>
      </c>
      <c r="P85" s="79">
        <f t="shared" si="16"/>
        <v>0</v>
      </c>
    </row>
    <row r="86" spans="1:16" ht="47.25" x14ac:dyDescent="0.25">
      <c r="A86" s="150" t="s">
        <v>159</v>
      </c>
      <c r="B86" s="151"/>
      <c r="C86" s="152"/>
      <c r="D86" s="81" t="s">
        <v>160</v>
      </c>
      <c r="E86" s="78">
        <f>SUM(E88)</f>
        <v>8220.94</v>
      </c>
      <c r="F86" s="78">
        <f>SUM(F88)</f>
        <v>0</v>
      </c>
      <c r="G86" s="78">
        <f>SUM(G88)</f>
        <v>0</v>
      </c>
      <c r="H86" s="78">
        <f>SUM(H88)</f>
        <v>0</v>
      </c>
      <c r="I86" s="78">
        <f>SUM(I88)</f>
        <v>0</v>
      </c>
      <c r="J86" s="79">
        <f t="shared" ref="J86" si="17">E86/7.5345</f>
        <v>1091.106244608136</v>
      </c>
      <c r="K86" s="79">
        <f t="shared" ref="K86" si="18">F86/7.5345</f>
        <v>0</v>
      </c>
      <c r="L86" s="79">
        <f t="shared" ref="L86" si="19">G86/7.5345</f>
        <v>0</v>
      </c>
      <c r="M86" s="79">
        <f t="shared" si="11"/>
        <v>0</v>
      </c>
      <c r="N86" s="80">
        <v>0</v>
      </c>
      <c r="O86" s="79">
        <f t="shared" ref="O86" si="20">H86/7.5345</f>
        <v>0</v>
      </c>
      <c r="P86" s="79">
        <f t="shared" ref="P86" si="21">I86/7.5345</f>
        <v>0</v>
      </c>
    </row>
    <row r="87" spans="1:16" ht="33.75" customHeight="1" x14ac:dyDescent="0.25">
      <c r="A87" s="153" t="s">
        <v>161</v>
      </c>
      <c r="B87" s="154"/>
      <c r="C87" s="155"/>
      <c r="D87" s="84" t="s">
        <v>162</v>
      </c>
      <c r="E87" s="78"/>
      <c r="F87" s="78"/>
      <c r="G87" s="78"/>
      <c r="H87" s="78"/>
      <c r="I87" s="78"/>
      <c r="J87" s="79"/>
      <c r="K87" s="79"/>
      <c r="L87" s="79"/>
      <c r="M87" s="79">
        <f t="shared" si="11"/>
        <v>0</v>
      </c>
      <c r="N87" s="80"/>
      <c r="O87" s="79"/>
      <c r="P87" s="79"/>
    </row>
    <row r="88" spans="1:16" ht="15.75" x14ac:dyDescent="0.25">
      <c r="A88" s="141">
        <v>3</v>
      </c>
      <c r="B88" s="142"/>
      <c r="C88" s="143"/>
      <c r="D88" s="85" t="s">
        <v>19</v>
      </c>
      <c r="E88" s="78">
        <f>SUM(E89)</f>
        <v>8220.94</v>
      </c>
      <c r="F88" s="78">
        <v>0</v>
      </c>
      <c r="G88" s="78">
        <v>0</v>
      </c>
      <c r="H88" s="78">
        <v>0</v>
      </c>
      <c r="I88" s="78">
        <v>0</v>
      </c>
      <c r="J88" s="79">
        <f t="shared" ref="J88:J89" si="22">E88/7.5345</f>
        <v>1091.106244608136</v>
      </c>
      <c r="K88" s="79">
        <f t="shared" ref="K88:K89" si="23">F88/7.5345</f>
        <v>0</v>
      </c>
      <c r="L88" s="79">
        <f t="shared" ref="L88:L89" si="24">G88/7.5345</f>
        <v>0</v>
      </c>
      <c r="M88" s="79">
        <f t="shared" si="11"/>
        <v>1079.32</v>
      </c>
      <c r="N88" s="80">
        <v>1079.32</v>
      </c>
      <c r="O88" s="79">
        <f t="shared" ref="O88:O89" si="25">H88/7.5345</f>
        <v>0</v>
      </c>
      <c r="P88" s="79">
        <f t="shared" ref="P88:P89" si="26">I88/7.5345</f>
        <v>0</v>
      </c>
    </row>
    <row r="89" spans="1:16" ht="15.75" x14ac:dyDescent="0.25">
      <c r="A89" s="144">
        <v>32</v>
      </c>
      <c r="B89" s="145"/>
      <c r="C89" s="146"/>
      <c r="D89" s="85" t="s">
        <v>30</v>
      </c>
      <c r="E89" s="78">
        <v>8220.94</v>
      </c>
      <c r="F89" s="78">
        <v>0</v>
      </c>
      <c r="G89" s="78">
        <v>0</v>
      </c>
      <c r="H89" s="78">
        <v>0</v>
      </c>
      <c r="I89" s="78">
        <v>0</v>
      </c>
      <c r="J89" s="79">
        <f t="shared" si="22"/>
        <v>1091.106244608136</v>
      </c>
      <c r="K89" s="79">
        <f t="shared" si="23"/>
        <v>0</v>
      </c>
      <c r="L89" s="79">
        <f t="shared" si="24"/>
        <v>0</v>
      </c>
      <c r="M89" s="79">
        <f t="shared" si="11"/>
        <v>1079.32</v>
      </c>
      <c r="N89" s="80">
        <v>1079.32</v>
      </c>
      <c r="O89" s="79">
        <f t="shared" si="25"/>
        <v>0</v>
      </c>
      <c r="P89" s="79">
        <f t="shared" si="26"/>
        <v>0</v>
      </c>
    </row>
    <row r="90" spans="1:16" ht="31.5" x14ac:dyDescent="0.25">
      <c r="A90" s="150" t="s">
        <v>117</v>
      </c>
      <c r="B90" s="151"/>
      <c r="C90" s="152"/>
      <c r="D90" s="81" t="s">
        <v>118</v>
      </c>
      <c r="E90" s="78">
        <f>E91</f>
        <v>78530.58</v>
      </c>
      <c r="F90" s="78">
        <f>SUM(F91)</f>
        <v>132426.25</v>
      </c>
      <c r="G90" s="78">
        <f>SUM(G91)</f>
        <v>0</v>
      </c>
      <c r="H90" s="78">
        <f>SUM(H91)</f>
        <v>0</v>
      </c>
      <c r="I90" s="78">
        <f>SUM(I91)</f>
        <v>0</v>
      </c>
      <c r="J90" s="79">
        <f t="shared" si="12"/>
        <v>10422.799124029465</v>
      </c>
      <c r="K90" s="79">
        <f t="shared" si="13"/>
        <v>17575.983807817371</v>
      </c>
      <c r="L90" s="79">
        <f t="shared" si="14"/>
        <v>0</v>
      </c>
      <c r="M90" s="79">
        <f t="shared" si="11"/>
        <v>1784.4</v>
      </c>
      <c r="N90" s="80">
        <v>1784.4</v>
      </c>
      <c r="O90" s="79">
        <f t="shared" si="15"/>
        <v>0</v>
      </c>
      <c r="P90" s="79">
        <f t="shared" si="16"/>
        <v>0</v>
      </c>
    </row>
    <row r="91" spans="1:16" ht="47.25" x14ac:dyDescent="0.25">
      <c r="A91" s="150" t="s">
        <v>120</v>
      </c>
      <c r="B91" s="151"/>
      <c r="C91" s="152"/>
      <c r="D91" s="81" t="s">
        <v>119</v>
      </c>
      <c r="E91" s="78">
        <f>SUM(E93)</f>
        <v>78530.58</v>
      </c>
      <c r="F91" s="78">
        <f>SUM(F93)</f>
        <v>132426.25</v>
      </c>
      <c r="G91" s="78">
        <f>SUM(G93)</f>
        <v>0</v>
      </c>
      <c r="H91" s="78">
        <f>SUM(H93)</f>
        <v>0</v>
      </c>
      <c r="I91" s="78">
        <f>SUM(I93)</f>
        <v>0</v>
      </c>
      <c r="J91" s="79">
        <f t="shared" si="12"/>
        <v>10422.799124029465</v>
      </c>
      <c r="K91" s="79">
        <f t="shared" si="13"/>
        <v>17575.983807817371</v>
      </c>
      <c r="L91" s="79">
        <f t="shared" si="14"/>
        <v>0</v>
      </c>
      <c r="M91" s="79">
        <f t="shared" si="11"/>
        <v>1784.4</v>
      </c>
      <c r="N91" s="80">
        <v>1784.4</v>
      </c>
      <c r="O91" s="79">
        <f t="shared" si="15"/>
        <v>0</v>
      </c>
      <c r="P91" s="79">
        <f t="shared" si="16"/>
        <v>0</v>
      </c>
    </row>
    <row r="92" spans="1:16" ht="30" x14ac:dyDescent="0.25">
      <c r="A92" s="165" t="s">
        <v>54</v>
      </c>
      <c r="B92" s="166"/>
      <c r="C92" s="167"/>
      <c r="D92" s="84" t="s">
        <v>57</v>
      </c>
      <c r="E92" s="78"/>
      <c r="F92" s="78"/>
      <c r="G92" s="78"/>
      <c r="H92" s="78"/>
      <c r="I92" s="78"/>
      <c r="J92" s="79"/>
      <c r="K92" s="79"/>
      <c r="L92" s="79"/>
      <c r="M92" s="79">
        <f t="shared" si="11"/>
        <v>0</v>
      </c>
      <c r="N92" s="80"/>
      <c r="O92" s="79"/>
      <c r="P92" s="79"/>
    </row>
    <row r="93" spans="1:16" ht="15.75" x14ac:dyDescent="0.25">
      <c r="A93" s="141">
        <v>3</v>
      </c>
      <c r="B93" s="142"/>
      <c r="C93" s="143"/>
      <c r="D93" s="85" t="s">
        <v>19</v>
      </c>
      <c r="E93" s="78">
        <f>SUM(E94)</f>
        <v>78530.58</v>
      </c>
      <c r="F93" s="78">
        <f>SUM(F94)</f>
        <v>132426.25</v>
      </c>
      <c r="G93" s="78">
        <f>SUM(G94)</f>
        <v>0</v>
      </c>
      <c r="H93" s="78">
        <f>SUM(H94)</f>
        <v>0</v>
      </c>
      <c r="I93" s="78">
        <f>SUM(I94)</f>
        <v>0</v>
      </c>
      <c r="J93" s="79">
        <f t="shared" si="12"/>
        <v>10422.799124029465</v>
      </c>
      <c r="K93" s="79">
        <f t="shared" si="13"/>
        <v>17575.983807817371</v>
      </c>
      <c r="L93" s="79">
        <f t="shared" si="14"/>
        <v>0</v>
      </c>
      <c r="M93" s="79">
        <f t="shared" si="11"/>
        <v>1784.4</v>
      </c>
      <c r="N93" s="80">
        <v>1784.4</v>
      </c>
      <c r="O93" s="79">
        <f t="shared" si="15"/>
        <v>0</v>
      </c>
      <c r="P93" s="79">
        <f t="shared" si="16"/>
        <v>0</v>
      </c>
    </row>
    <row r="94" spans="1:16" ht="15.75" x14ac:dyDescent="0.25">
      <c r="A94" s="144">
        <v>32</v>
      </c>
      <c r="B94" s="145"/>
      <c r="C94" s="146"/>
      <c r="D94" s="85" t="s">
        <v>30</v>
      </c>
      <c r="E94" s="78">
        <v>78530.58</v>
      </c>
      <c r="F94" s="78">
        <v>132426.25</v>
      </c>
      <c r="G94" s="78">
        <v>0</v>
      </c>
      <c r="H94" s="78">
        <v>0</v>
      </c>
      <c r="I94" s="78">
        <v>0</v>
      </c>
      <c r="J94" s="79">
        <f t="shared" si="12"/>
        <v>10422.799124029465</v>
      </c>
      <c r="K94" s="79">
        <f t="shared" si="13"/>
        <v>17575.983807817371</v>
      </c>
      <c r="L94" s="79">
        <f t="shared" si="14"/>
        <v>0</v>
      </c>
      <c r="M94" s="79">
        <f t="shared" si="11"/>
        <v>1784.4</v>
      </c>
      <c r="N94" s="80">
        <v>1784.4</v>
      </c>
      <c r="O94" s="79">
        <f t="shared" si="15"/>
        <v>0</v>
      </c>
      <c r="P94" s="79">
        <f t="shared" si="16"/>
        <v>0</v>
      </c>
    </row>
    <row r="95" spans="1:16" ht="31.5" x14ac:dyDescent="0.25">
      <c r="A95" s="150" t="s">
        <v>121</v>
      </c>
      <c r="B95" s="151"/>
      <c r="C95" s="152"/>
      <c r="D95" s="81" t="s">
        <v>122</v>
      </c>
      <c r="E95" s="78">
        <f>E96+E101</f>
        <v>317734.25</v>
      </c>
      <c r="F95" s="78">
        <f>SUM(F98,F101)</f>
        <v>0</v>
      </c>
      <c r="G95" s="78">
        <f>SUM(G98,G101)</f>
        <v>0</v>
      </c>
      <c r="H95" s="78">
        <f>SUM(H98,H101)</f>
        <v>0</v>
      </c>
      <c r="I95" s="78">
        <f>SUM(I98,I101)</f>
        <v>0</v>
      </c>
      <c r="J95" s="79">
        <f t="shared" si="12"/>
        <v>42170.581989514896</v>
      </c>
      <c r="K95" s="79">
        <f t="shared" si="13"/>
        <v>0</v>
      </c>
      <c r="L95" s="79">
        <f t="shared" si="14"/>
        <v>0</v>
      </c>
      <c r="M95" s="79">
        <f t="shared" si="11"/>
        <v>0</v>
      </c>
      <c r="N95" s="80">
        <v>0</v>
      </c>
      <c r="O95" s="79">
        <f t="shared" si="15"/>
        <v>0</v>
      </c>
      <c r="P95" s="79">
        <f t="shared" si="16"/>
        <v>0</v>
      </c>
    </row>
    <row r="96" spans="1:16" ht="31.5" x14ac:dyDescent="0.25">
      <c r="A96" s="150" t="s">
        <v>123</v>
      </c>
      <c r="B96" s="151"/>
      <c r="C96" s="152"/>
      <c r="D96" s="81" t="s">
        <v>124</v>
      </c>
      <c r="E96" s="78">
        <f>SUM(E98)</f>
        <v>9900</v>
      </c>
      <c r="F96" s="78">
        <f>SUM(F98)</f>
        <v>0</v>
      </c>
      <c r="G96" s="78">
        <f>SUM(G98)</f>
        <v>0</v>
      </c>
      <c r="H96" s="78">
        <f>SUM(H98)</f>
        <v>0</v>
      </c>
      <c r="I96" s="78">
        <f>SUM(I98)</f>
        <v>0</v>
      </c>
      <c r="J96" s="79">
        <f t="shared" si="12"/>
        <v>1313.9558033047979</v>
      </c>
      <c r="K96" s="79">
        <f t="shared" si="13"/>
        <v>0</v>
      </c>
      <c r="L96" s="79">
        <f t="shared" si="14"/>
        <v>0</v>
      </c>
      <c r="M96" s="79">
        <f t="shared" si="11"/>
        <v>0</v>
      </c>
      <c r="N96" s="80">
        <v>0</v>
      </c>
      <c r="O96" s="79">
        <f t="shared" si="15"/>
        <v>0</v>
      </c>
      <c r="P96" s="79">
        <f t="shared" si="16"/>
        <v>0</v>
      </c>
    </row>
    <row r="97" spans="1:16" ht="45" x14ac:dyDescent="0.25">
      <c r="A97" s="171" t="s">
        <v>126</v>
      </c>
      <c r="B97" s="172"/>
      <c r="C97" s="173"/>
      <c r="D97" s="84" t="s">
        <v>125</v>
      </c>
      <c r="E97" s="78"/>
      <c r="F97" s="78"/>
      <c r="G97" s="78"/>
      <c r="H97" s="78"/>
      <c r="I97" s="78"/>
      <c r="J97" s="79"/>
      <c r="K97" s="79"/>
      <c r="L97" s="79"/>
      <c r="M97" s="79">
        <f t="shared" si="11"/>
        <v>0</v>
      </c>
      <c r="N97" s="80">
        <v>0</v>
      </c>
      <c r="O97" s="79"/>
      <c r="P97" s="79"/>
    </row>
    <row r="98" spans="1:16" ht="15.75" x14ac:dyDescent="0.25">
      <c r="A98" s="141">
        <v>4</v>
      </c>
      <c r="B98" s="142"/>
      <c r="C98" s="143"/>
      <c r="D98" s="85" t="s">
        <v>102</v>
      </c>
      <c r="E98" s="78">
        <f>SUM(E99)</f>
        <v>9900</v>
      </c>
      <c r="F98" s="78">
        <f>SUM(F99)</f>
        <v>0</v>
      </c>
      <c r="G98" s="78">
        <f>SUM(G99)</f>
        <v>0</v>
      </c>
      <c r="H98" s="78">
        <f>SUM(H99)</f>
        <v>0</v>
      </c>
      <c r="I98" s="78">
        <f>SUM(I99)</f>
        <v>0</v>
      </c>
      <c r="J98" s="79">
        <f t="shared" si="12"/>
        <v>1313.9558033047979</v>
      </c>
      <c r="K98" s="79">
        <f t="shared" si="13"/>
        <v>0</v>
      </c>
      <c r="L98" s="79">
        <f t="shared" si="14"/>
        <v>0</v>
      </c>
      <c r="M98" s="79">
        <f t="shared" si="11"/>
        <v>0</v>
      </c>
      <c r="N98" s="80">
        <v>0</v>
      </c>
      <c r="O98" s="79">
        <f t="shared" si="15"/>
        <v>0</v>
      </c>
      <c r="P98" s="79">
        <f t="shared" si="16"/>
        <v>0</v>
      </c>
    </row>
    <row r="99" spans="1:16" ht="30" x14ac:dyDescent="0.25">
      <c r="A99" s="144">
        <v>41</v>
      </c>
      <c r="B99" s="145"/>
      <c r="C99" s="146"/>
      <c r="D99" s="85" t="s">
        <v>127</v>
      </c>
      <c r="E99" s="78">
        <v>9900</v>
      </c>
      <c r="F99" s="78">
        <v>0</v>
      </c>
      <c r="G99" s="78">
        <v>0</v>
      </c>
      <c r="H99" s="78">
        <v>0</v>
      </c>
      <c r="I99" s="78">
        <v>0</v>
      </c>
      <c r="J99" s="79">
        <f t="shared" si="12"/>
        <v>1313.9558033047979</v>
      </c>
      <c r="K99" s="79">
        <f t="shared" si="13"/>
        <v>0</v>
      </c>
      <c r="L99" s="79">
        <f t="shared" si="14"/>
        <v>0</v>
      </c>
      <c r="M99" s="79">
        <f t="shared" si="11"/>
        <v>0</v>
      </c>
      <c r="N99" s="80">
        <v>0</v>
      </c>
      <c r="O99" s="79">
        <f t="shared" si="15"/>
        <v>0</v>
      </c>
      <c r="P99" s="79">
        <f t="shared" si="16"/>
        <v>0</v>
      </c>
    </row>
    <row r="100" spans="1:16" ht="30" x14ac:dyDescent="0.25">
      <c r="A100" s="171" t="s">
        <v>128</v>
      </c>
      <c r="B100" s="172"/>
      <c r="C100" s="173"/>
      <c r="D100" s="84" t="s">
        <v>129</v>
      </c>
      <c r="E100" s="78"/>
      <c r="F100" s="78"/>
      <c r="G100" s="78"/>
      <c r="H100" s="78"/>
      <c r="I100" s="78"/>
      <c r="J100" s="79"/>
      <c r="K100" s="79"/>
      <c r="L100" s="79"/>
      <c r="M100" s="79">
        <f t="shared" si="11"/>
        <v>0</v>
      </c>
      <c r="N100" s="80"/>
      <c r="O100" s="79"/>
      <c r="P100" s="79"/>
    </row>
    <row r="101" spans="1:16" ht="15.75" x14ac:dyDescent="0.25">
      <c r="A101" s="141">
        <v>4</v>
      </c>
      <c r="B101" s="142"/>
      <c r="C101" s="143"/>
      <c r="D101" s="85" t="s">
        <v>102</v>
      </c>
      <c r="E101" s="78">
        <f>SUM(E102)</f>
        <v>307834.25</v>
      </c>
      <c r="F101" s="78">
        <f>SUM(F102)</f>
        <v>0</v>
      </c>
      <c r="G101" s="78">
        <f>SUM(G102)</f>
        <v>0</v>
      </c>
      <c r="H101" s="78">
        <f>SUM(H102)</f>
        <v>0</v>
      </c>
      <c r="I101" s="78">
        <f>SUM(I102)</f>
        <v>0</v>
      </c>
      <c r="J101" s="79">
        <f t="shared" si="12"/>
        <v>40856.626186210095</v>
      </c>
      <c r="K101" s="79">
        <f t="shared" si="13"/>
        <v>0</v>
      </c>
      <c r="L101" s="79">
        <f t="shared" si="14"/>
        <v>0</v>
      </c>
      <c r="M101" s="79">
        <f t="shared" si="11"/>
        <v>0</v>
      </c>
      <c r="N101" s="80">
        <v>0</v>
      </c>
      <c r="O101" s="79">
        <f t="shared" si="15"/>
        <v>0</v>
      </c>
      <c r="P101" s="79">
        <f t="shared" si="16"/>
        <v>0</v>
      </c>
    </row>
    <row r="102" spans="1:16" ht="45" x14ac:dyDescent="0.25">
      <c r="A102" s="144">
        <v>42</v>
      </c>
      <c r="B102" s="145"/>
      <c r="C102" s="146"/>
      <c r="D102" s="85" t="s">
        <v>44</v>
      </c>
      <c r="E102" s="78">
        <v>307834.25</v>
      </c>
      <c r="F102" s="78">
        <v>0</v>
      </c>
      <c r="G102" s="78">
        <v>0</v>
      </c>
      <c r="H102" s="78">
        <v>0</v>
      </c>
      <c r="I102" s="78">
        <v>0</v>
      </c>
      <c r="J102" s="79">
        <f t="shared" si="12"/>
        <v>40856.626186210095</v>
      </c>
      <c r="K102" s="79">
        <f t="shared" si="13"/>
        <v>0</v>
      </c>
      <c r="L102" s="79">
        <f t="shared" si="14"/>
        <v>0</v>
      </c>
      <c r="M102" s="79">
        <f t="shared" si="11"/>
        <v>0</v>
      </c>
      <c r="N102" s="80">
        <v>0</v>
      </c>
      <c r="O102" s="79">
        <f t="shared" si="15"/>
        <v>0</v>
      </c>
      <c r="P102" s="79">
        <f t="shared" si="16"/>
        <v>0</v>
      </c>
    </row>
    <row r="103" spans="1:16" ht="25.5" customHeight="1" x14ac:dyDescent="0.25">
      <c r="A103" s="150" t="s">
        <v>77</v>
      </c>
      <c r="B103" s="151"/>
      <c r="C103" s="152"/>
      <c r="D103" s="81" t="s">
        <v>78</v>
      </c>
      <c r="E103" s="78">
        <f>SUM(E104)</f>
        <v>12824.95</v>
      </c>
      <c r="F103" s="78">
        <f>SUM(F104)</f>
        <v>85105</v>
      </c>
      <c r="G103" s="78">
        <f>SUM(G104)</f>
        <v>73605</v>
      </c>
      <c r="H103" s="78">
        <f>SUM(H104)</f>
        <v>73605</v>
      </c>
      <c r="I103" s="78">
        <f>SUM(I104)</f>
        <v>73605</v>
      </c>
      <c r="J103" s="79">
        <f>J104</f>
        <v>1702.1633817771585</v>
      </c>
      <c r="K103" s="79">
        <f>K104</f>
        <v>11295.37461012675</v>
      </c>
      <c r="L103" s="79">
        <v>9769.06</v>
      </c>
      <c r="M103" s="79">
        <f t="shared" si="11"/>
        <v>651.60000000000036</v>
      </c>
      <c r="N103" s="80">
        <v>10420.66</v>
      </c>
      <c r="O103" s="79">
        <v>10420.66</v>
      </c>
      <c r="P103" s="79">
        <v>10420.66</v>
      </c>
    </row>
    <row r="104" spans="1:16" ht="25.5" customHeight="1" x14ac:dyDescent="0.25">
      <c r="A104" s="150" t="s">
        <v>79</v>
      </c>
      <c r="B104" s="151"/>
      <c r="C104" s="152"/>
      <c r="D104" s="81" t="s">
        <v>80</v>
      </c>
      <c r="E104" s="78">
        <f>SUM(E106,E109,E112)</f>
        <v>12824.95</v>
      </c>
      <c r="F104" s="78">
        <f>SUM(F106,F109,F112)</f>
        <v>85105</v>
      </c>
      <c r="G104" s="78">
        <f>SUM(G106,G109,G112)</f>
        <v>73605</v>
      </c>
      <c r="H104" s="78">
        <f>SUM(H106,H109,H112)</f>
        <v>73605</v>
      </c>
      <c r="I104" s="78">
        <f>SUM(I106,I109,I112)</f>
        <v>73605</v>
      </c>
      <c r="J104" s="79">
        <f t="shared" si="12"/>
        <v>1702.1633817771585</v>
      </c>
      <c r="K104" s="79">
        <f t="shared" si="13"/>
        <v>11295.37461012675</v>
      </c>
      <c r="L104" s="79">
        <f t="shared" si="14"/>
        <v>9769.0623133585505</v>
      </c>
      <c r="M104" s="79">
        <f t="shared" si="11"/>
        <v>651.5976866414494</v>
      </c>
      <c r="N104" s="80">
        <v>10420.66</v>
      </c>
      <c r="O104" s="79">
        <v>10420.66</v>
      </c>
      <c r="P104" s="79">
        <v>10420.66</v>
      </c>
    </row>
    <row r="105" spans="1:16" ht="33" customHeight="1" x14ac:dyDescent="0.25">
      <c r="A105" s="156" t="s">
        <v>60</v>
      </c>
      <c r="B105" s="157"/>
      <c r="C105" s="158"/>
      <c r="D105" s="98" t="s">
        <v>61</v>
      </c>
      <c r="E105" s="78"/>
      <c r="F105" s="78"/>
      <c r="G105" s="78"/>
      <c r="H105" s="78"/>
      <c r="I105" s="78"/>
      <c r="J105" s="79"/>
      <c r="K105" s="79"/>
      <c r="L105" s="79"/>
      <c r="M105" s="79">
        <f t="shared" si="11"/>
        <v>0</v>
      </c>
      <c r="N105" s="80"/>
      <c r="O105" s="79"/>
      <c r="P105" s="79"/>
    </row>
    <row r="106" spans="1:16" ht="30" x14ac:dyDescent="0.25">
      <c r="A106" s="141">
        <v>4</v>
      </c>
      <c r="B106" s="142"/>
      <c r="C106" s="143"/>
      <c r="D106" s="85" t="s">
        <v>21</v>
      </c>
      <c r="E106" s="78">
        <f>SUM(E107)</f>
        <v>4598.3500000000004</v>
      </c>
      <c r="F106" s="78">
        <f>SUM(F107)</f>
        <v>5</v>
      </c>
      <c r="G106" s="78">
        <f>SUM(G107)</f>
        <v>5</v>
      </c>
      <c r="H106" s="78">
        <f>SUM(H107)</f>
        <v>5</v>
      </c>
      <c r="I106" s="78">
        <f>SUM(I107)</f>
        <v>5</v>
      </c>
      <c r="J106" s="79">
        <f t="shared" si="12"/>
        <v>610.30592607339577</v>
      </c>
      <c r="K106" s="79">
        <f t="shared" si="13"/>
        <v>0.66361404207313024</v>
      </c>
      <c r="L106" s="79">
        <f t="shared" si="14"/>
        <v>0.66361404207313024</v>
      </c>
      <c r="M106" s="79">
        <f t="shared" si="11"/>
        <v>-3.6140420731302081E-3</v>
      </c>
      <c r="N106" s="80">
        <v>0.66</v>
      </c>
      <c r="O106" s="79">
        <v>0.66</v>
      </c>
      <c r="P106" s="79">
        <v>0.66</v>
      </c>
    </row>
    <row r="107" spans="1:16" ht="45" x14ac:dyDescent="0.25">
      <c r="A107" s="144">
        <v>42</v>
      </c>
      <c r="B107" s="145"/>
      <c r="C107" s="146"/>
      <c r="D107" s="85" t="s">
        <v>44</v>
      </c>
      <c r="E107" s="78">
        <v>4598.3500000000004</v>
      </c>
      <c r="F107" s="78">
        <v>5</v>
      </c>
      <c r="G107" s="78">
        <v>5</v>
      </c>
      <c r="H107" s="78">
        <v>5</v>
      </c>
      <c r="I107" s="78">
        <v>5</v>
      </c>
      <c r="J107" s="79">
        <f t="shared" si="12"/>
        <v>610.30592607339577</v>
      </c>
      <c r="K107" s="79">
        <f t="shared" si="13"/>
        <v>0.66361404207313024</v>
      </c>
      <c r="L107" s="79">
        <f t="shared" si="14"/>
        <v>0.66361404207313024</v>
      </c>
      <c r="M107" s="79">
        <f t="shared" si="11"/>
        <v>-3.6140420731302081E-3</v>
      </c>
      <c r="N107" s="80">
        <v>0.66</v>
      </c>
      <c r="O107" s="79">
        <v>0.66</v>
      </c>
      <c r="P107" s="79">
        <v>0.66</v>
      </c>
    </row>
    <row r="108" spans="1:16" ht="30" x14ac:dyDescent="0.25">
      <c r="A108" s="174" t="s">
        <v>62</v>
      </c>
      <c r="B108" s="175"/>
      <c r="C108" s="176"/>
      <c r="D108" s="84" t="s">
        <v>63</v>
      </c>
      <c r="E108" s="78"/>
      <c r="F108" s="78"/>
      <c r="G108" s="78"/>
      <c r="H108" s="78"/>
      <c r="I108" s="78"/>
      <c r="J108" s="79"/>
      <c r="K108" s="79"/>
      <c r="L108" s="79"/>
      <c r="M108" s="79">
        <f t="shared" si="11"/>
        <v>0</v>
      </c>
      <c r="N108" s="80"/>
      <c r="O108" s="79"/>
      <c r="P108" s="79"/>
    </row>
    <row r="109" spans="1:16" ht="30" x14ac:dyDescent="0.25">
      <c r="A109" s="141">
        <v>4</v>
      </c>
      <c r="B109" s="142"/>
      <c r="C109" s="143"/>
      <c r="D109" s="85" t="s">
        <v>21</v>
      </c>
      <c r="E109" s="78">
        <f>SUM(E110)</f>
        <v>4226.6000000000004</v>
      </c>
      <c r="F109" s="78">
        <f>SUM(F110)</f>
        <v>73600</v>
      </c>
      <c r="G109" s="78">
        <f>SUM(G110)</f>
        <v>73600</v>
      </c>
      <c r="H109" s="78">
        <f>SUM(H110)</f>
        <v>73600</v>
      </c>
      <c r="I109" s="78">
        <f>SUM(I110)</f>
        <v>73600</v>
      </c>
      <c r="J109" s="79">
        <f t="shared" ref="J109:J126" si="27">E109/7.5345</f>
        <v>560.96622204525852</v>
      </c>
      <c r="K109" s="79">
        <f t="shared" ref="K109:K126" si="28">F109/7.5345</f>
        <v>9768.3986993164763</v>
      </c>
      <c r="L109" s="79">
        <f t="shared" ref="L109:L124" si="29">G109/7.5345</f>
        <v>9768.3986993164763</v>
      </c>
      <c r="M109" s="79">
        <f t="shared" si="11"/>
        <v>231.60130068352373</v>
      </c>
      <c r="N109" s="80">
        <v>10000</v>
      </c>
      <c r="O109" s="79">
        <v>10000</v>
      </c>
      <c r="P109" s="79">
        <v>10000</v>
      </c>
    </row>
    <row r="110" spans="1:16" ht="45" x14ac:dyDescent="0.25">
      <c r="A110" s="144">
        <v>42</v>
      </c>
      <c r="B110" s="145"/>
      <c r="C110" s="146"/>
      <c r="D110" s="85" t="s">
        <v>44</v>
      </c>
      <c r="E110" s="78">
        <v>4226.6000000000004</v>
      </c>
      <c r="F110" s="78">
        <v>73600</v>
      </c>
      <c r="G110" s="78">
        <v>73600</v>
      </c>
      <c r="H110" s="78">
        <v>73600</v>
      </c>
      <c r="I110" s="78">
        <v>73600</v>
      </c>
      <c r="J110" s="79">
        <f t="shared" si="27"/>
        <v>560.96622204525852</v>
      </c>
      <c r="K110" s="79">
        <f t="shared" si="28"/>
        <v>9768.3986993164763</v>
      </c>
      <c r="L110" s="79">
        <f t="shared" si="29"/>
        <v>9768.3986993164763</v>
      </c>
      <c r="M110" s="79">
        <f t="shared" si="11"/>
        <v>231.60130068352373</v>
      </c>
      <c r="N110" s="80">
        <v>10000</v>
      </c>
      <c r="O110" s="79">
        <v>10000</v>
      </c>
      <c r="P110" s="79">
        <v>10000</v>
      </c>
    </row>
    <row r="111" spans="1:16" ht="30" x14ac:dyDescent="0.25">
      <c r="A111" s="138" t="s">
        <v>75</v>
      </c>
      <c r="B111" s="139"/>
      <c r="C111" s="140"/>
      <c r="D111" s="84" t="s">
        <v>76</v>
      </c>
      <c r="E111" s="78"/>
      <c r="F111" s="78"/>
      <c r="G111" s="78"/>
      <c r="H111" s="78"/>
      <c r="I111" s="78"/>
      <c r="J111" s="79"/>
      <c r="K111" s="79"/>
      <c r="L111" s="79"/>
      <c r="M111" s="79">
        <f t="shared" si="11"/>
        <v>0</v>
      </c>
      <c r="N111" s="80"/>
      <c r="O111" s="79"/>
      <c r="P111" s="79"/>
    </row>
    <row r="112" spans="1:16" ht="30" x14ac:dyDescent="0.25">
      <c r="A112" s="141">
        <v>4</v>
      </c>
      <c r="B112" s="142"/>
      <c r="C112" s="143"/>
      <c r="D112" s="85" t="s">
        <v>21</v>
      </c>
      <c r="E112" s="78">
        <f>SUM(E113)</f>
        <v>4000</v>
      </c>
      <c r="F112" s="78">
        <f>SUM(F113)</f>
        <v>11500</v>
      </c>
      <c r="G112" s="78">
        <f>SUM(G113)</f>
        <v>0</v>
      </c>
      <c r="H112" s="78">
        <f>SUM(H113)</f>
        <v>0</v>
      </c>
      <c r="I112" s="78">
        <f>SUM(I113)</f>
        <v>0</v>
      </c>
      <c r="J112" s="79">
        <f t="shared" si="27"/>
        <v>530.89123365850423</v>
      </c>
      <c r="K112" s="79">
        <f t="shared" si="28"/>
        <v>1526.3122967681995</v>
      </c>
      <c r="L112" s="79">
        <f t="shared" si="29"/>
        <v>0</v>
      </c>
      <c r="M112" s="79">
        <f t="shared" si="11"/>
        <v>0</v>
      </c>
      <c r="N112" s="80">
        <v>0</v>
      </c>
      <c r="O112" s="79">
        <v>0</v>
      </c>
      <c r="P112" s="79">
        <v>0</v>
      </c>
    </row>
    <row r="113" spans="1:16" ht="45" x14ac:dyDescent="0.25">
      <c r="A113" s="144">
        <v>42</v>
      </c>
      <c r="B113" s="145"/>
      <c r="C113" s="146"/>
      <c r="D113" s="85" t="s">
        <v>44</v>
      </c>
      <c r="E113" s="78">
        <v>4000</v>
      </c>
      <c r="F113" s="78">
        <v>11500</v>
      </c>
      <c r="G113" s="78">
        <v>0</v>
      </c>
      <c r="H113" s="78">
        <v>0</v>
      </c>
      <c r="I113" s="78">
        <v>0</v>
      </c>
      <c r="J113" s="79">
        <f t="shared" si="27"/>
        <v>530.89123365850423</v>
      </c>
      <c r="K113" s="79">
        <f t="shared" si="28"/>
        <v>1526.3122967681995</v>
      </c>
      <c r="L113" s="79">
        <f t="shared" si="29"/>
        <v>0</v>
      </c>
      <c r="M113" s="79">
        <f t="shared" si="11"/>
        <v>0</v>
      </c>
      <c r="N113" s="80">
        <v>0</v>
      </c>
      <c r="O113" s="79">
        <v>0</v>
      </c>
      <c r="P113" s="79">
        <v>0</v>
      </c>
    </row>
    <row r="114" spans="1:16" ht="33" customHeight="1" x14ac:dyDescent="0.25">
      <c r="A114" s="150" t="s">
        <v>163</v>
      </c>
      <c r="B114" s="151"/>
      <c r="C114" s="152"/>
      <c r="D114" s="81" t="s">
        <v>164</v>
      </c>
      <c r="E114" s="78">
        <f>SUM(E116,E119,E122)</f>
        <v>4598.3500000000004</v>
      </c>
      <c r="F114" s="78">
        <f>SUM(F116,F119,F122)</f>
        <v>5</v>
      </c>
      <c r="G114" s="78">
        <f>SUM(G116,G119,G122)</f>
        <v>93048.55</v>
      </c>
      <c r="H114" s="78">
        <f>SUM(H116,H119,H122)</f>
        <v>93048.55</v>
      </c>
      <c r="I114" s="78">
        <f>SUM(I116,I119,I122)</f>
        <v>93048.55</v>
      </c>
      <c r="J114" s="79">
        <v>0</v>
      </c>
      <c r="K114" s="79">
        <v>0</v>
      </c>
      <c r="L114" s="79">
        <v>0</v>
      </c>
      <c r="M114" s="79">
        <f t="shared" si="11"/>
        <v>420</v>
      </c>
      <c r="N114" s="80">
        <v>420</v>
      </c>
      <c r="O114" s="79">
        <v>420</v>
      </c>
      <c r="P114" s="79">
        <v>420</v>
      </c>
    </row>
    <row r="115" spans="1:16" ht="30" x14ac:dyDescent="0.25">
      <c r="A115" s="138" t="s">
        <v>75</v>
      </c>
      <c r="B115" s="139"/>
      <c r="C115" s="140"/>
      <c r="D115" s="84" t="s">
        <v>76</v>
      </c>
      <c r="E115" s="78"/>
      <c r="F115" s="78"/>
      <c r="G115" s="78"/>
      <c r="H115" s="78"/>
      <c r="I115" s="78"/>
      <c r="J115" s="79"/>
      <c r="K115" s="79"/>
      <c r="L115" s="79"/>
      <c r="M115" s="79">
        <f t="shared" si="11"/>
        <v>0</v>
      </c>
      <c r="N115" s="80"/>
      <c r="O115" s="79"/>
      <c r="P115" s="79"/>
    </row>
    <row r="116" spans="1:16" ht="30" x14ac:dyDescent="0.25">
      <c r="A116" s="141">
        <v>4</v>
      </c>
      <c r="B116" s="142"/>
      <c r="C116" s="143"/>
      <c r="D116" s="85" t="s">
        <v>21</v>
      </c>
      <c r="E116" s="78">
        <f>SUM(E117)</f>
        <v>4598.3500000000004</v>
      </c>
      <c r="F116" s="78">
        <f>SUM(F117)</f>
        <v>5</v>
      </c>
      <c r="G116" s="78">
        <f>SUM(G117)</f>
        <v>5</v>
      </c>
      <c r="H116" s="78">
        <f>SUM(H117)</f>
        <v>5</v>
      </c>
      <c r="I116" s="78">
        <f>SUM(I117)</f>
        <v>5</v>
      </c>
      <c r="J116" s="79">
        <v>0</v>
      </c>
      <c r="K116" s="79">
        <v>0</v>
      </c>
      <c r="L116" s="79">
        <v>0</v>
      </c>
      <c r="M116" s="79">
        <f t="shared" si="11"/>
        <v>420</v>
      </c>
      <c r="N116" s="80">
        <v>420</v>
      </c>
      <c r="O116" s="79">
        <v>420</v>
      </c>
      <c r="P116" s="79">
        <v>420</v>
      </c>
    </row>
    <row r="117" spans="1:16" ht="45" x14ac:dyDescent="0.25">
      <c r="A117" s="144">
        <v>42</v>
      </c>
      <c r="B117" s="145"/>
      <c r="C117" s="146"/>
      <c r="D117" s="85" t="s">
        <v>44</v>
      </c>
      <c r="E117" s="78">
        <v>4598.3500000000004</v>
      </c>
      <c r="F117" s="78">
        <v>5</v>
      </c>
      <c r="G117" s="78">
        <v>5</v>
      </c>
      <c r="H117" s="78">
        <v>5</v>
      </c>
      <c r="I117" s="78">
        <v>5</v>
      </c>
      <c r="J117" s="79">
        <v>0</v>
      </c>
      <c r="K117" s="79">
        <v>0</v>
      </c>
      <c r="L117" s="79">
        <v>0</v>
      </c>
      <c r="M117" s="79">
        <f t="shared" si="11"/>
        <v>420</v>
      </c>
      <c r="N117" s="80">
        <v>420</v>
      </c>
      <c r="O117" s="79">
        <v>420</v>
      </c>
      <c r="P117" s="79">
        <v>420</v>
      </c>
    </row>
    <row r="118" spans="1:16" ht="15.75" x14ac:dyDescent="0.25">
      <c r="A118" s="150" t="s">
        <v>86</v>
      </c>
      <c r="B118" s="151"/>
      <c r="C118" s="152"/>
      <c r="D118" s="81" t="s">
        <v>87</v>
      </c>
      <c r="E118" s="78">
        <f>SUM(E119)</f>
        <v>0</v>
      </c>
      <c r="F118" s="78">
        <f>SUM(F119)</f>
        <v>0</v>
      </c>
      <c r="G118" s="78">
        <f>SUM(G119)</f>
        <v>80913</v>
      </c>
      <c r="H118" s="78">
        <f>SUM(H119)</f>
        <v>80913</v>
      </c>
      <c r="I118" s="78">
        <f>SUM(I119)</f>
        <v>80913</v>
      </c>
      <c r="J118" s="79">
        <f t="shared" si="27"/>
        <v>0</v>
      </c>
      <c r="K118" s="79">
        <f t="shared" si="28"/>
        <v>0</v>
      </c>
      <c r="L118" s="79">
        <f t="shared" si="29"/>
        <v>10739.000597252638</v>
      </c>
      <c r="M118" s="79">
        <f t="shared" si="11"/>
        <v>3399.9994027473622</v>
      </c>
      <c r="N118" s="80">
        <v>14139</v>
      </c>
      <c r="O118" s="79">
        <v>14139</v>
      </c>
      <c r="P118" s="79">
        <v>14139</v>
      </c>
    </row>
    <row r="119" spans="1:16" ht="31.5" x14ac:dyDescent="0.25">
      <c r="A119" s="150" t="s">
        <v>88</v>
      </c>
      <c r="B119" s="151"/>
      <c r="C119" s="152"/>
      <c r="D119" s="81" t="s">
        <v>89</v>
      </c>
      <c r="E119" s="78">
        <f>SUM(E121,E124)</f>
        <v>0</v>
      </c>
      <c r="F119" s="78">
        <f>SUM(F121,F124)</f>
        <v>0</v>
      </c>
      <c r="G119" s="78">
        <f>SUM(G121,G124)</f>
        <v>80913</v>
      </c>
      <c r="H119" s="78">
        <f>SUM(H121,H124)</f>
        <v>80913</v>
      </c>
      <c r="I119" s="78">
        <f>SUM(I121,I124)</f>
        <v>80913</v>
      </c>
      <c r="J119" s="79">
        <f t="shared" si="27"/>
        <v>0</v>
      </c>
      <c r="K119" s="79">
        <f t="shared" si="28"/>
        <v>0</v>
      </c>
      <c r="L119" s="79">
        <f t="shared" si="29"/>
        <v>10739.000597252638</v>
      </c>
      <c r="M119" s="79">
        <f t="shared" si="11"/>
        <v>3399.9994027473622</v>
      </c>
      <c r="N119" s="80">
        <v>14139</v>
      </c>
      <c r="O119" s="79">
        <v>14139</v>
      </c>
      <c r="P119" s="79">
        <v>14139</v>
      </c>
    </row>
    <row r="120" spans="1:16" ht="30" x14ac:dyDescent="0.25">
      <c r="A120" s="138" t="s">
        <v>75</v>
      </c>
      <c r="B120" s="139"/>
      <c r="C120" s="140"/>
      <c r="D120" s="84" t="s">
        <v>76</v>
      </c>
      <c r="E120" s="78"/>
      <c r="F120" s="78"/>
      <c r="G120" s="78"/>
      <c r="H120" s="78"/>
      <c r="I120" s="78"/>
      <c r="J120" s="79"/>
      <c r="K120" s="79"/>
      <c r="L120" s="79"/>
      <c r="M120" s="79">
        <f t="shared" si="11"/>
        <v>0</v>
      </c>
      <c r="N120" s="80"/>
      <c r="O120" s="79"/>
      <c r="P120" s="79"/>
    </row>
    <row r="121" spans="1:16" ht="15.75" x14ac:dyDescent="0.25">
      <c r="A121" s="141">
        <v>3</v>
      </c>
      <c r="B121" s="142"/>
      <c r="C121" s="143"/>
      <c r="D121" s="85" t="s">
        <v>19</v>
      </c>
      <c r="E121" s="78">
        <f>SUM(E122)</f>
        <v>0</v>
      </c>
      <c r="F121" s="78">
        <f>SUM(F122)</f>
        <v>0</v>
      </c>
      <c r="G121" s="78">
        <f>SUM(G122)</f>
        <v>12130.55</v>
      </c>
      <c r="H121" s="78">
        <f>SUM(H122)</f>
        <v>12130.55</v>
      </c>
      <c r="I121" s="78">
        <f>SUM(I122)</f>
        <v>12130.55</v>
      </c>
      <c r="J121" s="79">
        <f t="shared" si="27"/>
        <v>0</v>
      </c>
      <c r="K121" s="79">
        <f t="shared" si="28"/>
        <v>0</v>
      </c>
      <c r="L121" s="79">
        <f t="shared" si="29"/>
        <v>1610.000663614042</v>
      </c>
      <c r="M121" s="79">
        <f t="shared" si="11"/>
        <v>3399.999336385958</v>
      </c>
      <c r="N121" s="80">
        <v>5010</v>
      </c>
      <c r="O121" s="79">
        <v>5010</v>
      </c>
      <c r="P121" s="79">
        <v>5010</v>
      </c>
    </row>
    <row r="122" spans="1:16" ht="15.75" x14ac:dyDescent="0.25">
      <c r="A122" s="144">
        <v>31</v>
      </c>
      <c r="B122" s="145"/>
      <c r="C122" s="146"/>
      <c r="D122" s="85" t="s">
        <v>20</v>
      </c>
      <c r="E122" s="78">
        <v>0</v>
      </c>
      <c r="F122" s="78">
        <v>0</v>
      </c>
      <c r="G122" s="78">
        <v>12130.55</v>
      </c>
      <c r="H122" s="78">
        <v>12130.55</v>
      </c>
      <c r="I122" s="78">
        <v>12130.55</v>
      </c>
      <c r="J122" s="79">
        <f t="shared" si="27"/>
        <v>0</v>
      </c>
      <c r="K122" s="79">
        <f t="shared" si="28"/>
        <v>0</v>
      </c>
      <c r="L122" s="79">
        <f t="shared" si="29"/>
        <v>1610.000663614042</v>
      </c>
      <c r="M122" s="79">
        <f t="shared" si="11"/>
        <v>3399.999336385958</v>
      </c>
      <c r="N122" s="80">
        <v>5010</v>
      </c>
      <c r="O122" s="79">
        <v>5010</v>
      </c>
      <c r="P122" s="79">
        <v>5010</v>
      </c>
    </row>
    <row r="123" spans="1:16" ht="29.25" customHeight="1" x14ac:dyDescent="0.25">
      <c r="A123" s="177" t="s">
        <v>81</v>
      </c>
      <c r="B123" s="178"/>
      <c r="C123" s="179"/>
      <c r="D123" s="84" t="s">
        <v>82</v>
      </c>
      <c r="E123" s="78"/>
      <c r="F123" s="78"/>
      <c r="G123" s="78"/>
      <c r="H123" s="78"/>
      <c r="I123" s="78"/>
      <c r="J123" s="79"/>
      <c r="K123" s="79"/>
      <c r="L123" s="79"/>
      <c r="M123" s="79">
        <f t="shared" si="11"/>
        <v>0</v>
      </c>
      <c r="N123" s="80"/>
      <c r="O123" s="79"/>
      <c r="P123" s="79"/>
    </row>
    <row r="124" spans="1:16" ht="15.75" x14ac:dyDescent="0.25">
      <c r="A124" s="141">
        <v>3</v>
      </c>
      <c r="B124" s="142"/>
      <c r="C124" s="143"/>
      <c r="D124" s="85" t="s">
        <v>19</v>
      </c>
      <c r="E124" s="78">
        <f>SUM(E126)</f>
        <v>0</v>
      </c>
      <c r="F124" s="78">
        <f>SUM(F126)</f>
        <v>0</v>
      </c>
      <c r="G124" s="78">
        <f>SUM(G126)</f>
        <v>68782.45</v>
      </c>
      <c r="H124" s="78">
        <f>SUM(H126)</f>
        <v>68782.45</v>
      </c>
      <c r="I124" s="78">
        <f>SUM(I126)</f>
        <v>68782.45</v>
      </c>
      <c r="J124" s="79">
        <f t="shared" si="27"/>
        <v>0</v>
      </c>
      <c r="K124" s="79">
        <f t="shared" si="28"/>
        <v>0</v>
      </c>
      <c r="L124" s="79">
        <f t="shared" si="29"/>
        <v>9128.9999336385954</v>
      </c>
      <c r="M124" s="79">
        <f t="shared" si="11"/>
        <v>6.636140460614115E-5</v>
      </c>
      <c r="N124" s="80">
        <v>9129</v>
      </c>
      <c r="O124" s="79">
        <v>9129</v>
      </c>
      <c r="P124" s="79">
        <v>9129</v>
      </c>
    </row>
    <row r="125" spans="1:16" ht="15.75" x14ac:dyDescent="0.25">
      <c r="A125" s="144">
        <v>31</v>
      </c>
      <c r="B125" s="145"/>
      <c r="C125" s="146"/>
      <c r="D125" s="85" t="s">
        <v>20</v>
      </c>
      <c r="E125" s="78">
        <v>0</v>
      </c>
      <c r="F125" s="78">
        <v>0</v>
      </c>
      <c r="G125" s="78">
        <v>68782.45</v>
      </c>
      <c r="H125" s="78">
        <v>68782.45</v>
      </c>
      <c r="I125" s="78">
        <v>68782.45</v>
      </c>
      <c r="J125" s="79">
        <f t="shared" ref="J125" si="30">E125/7.5345</f>
        <v>0</v>
      </c>
      <c r="K125" s="79">
        <f t="shared" ref="K125" si="31">F125/7.5345</f>
        <v>0</v>
      </c>
      <c r="L125" s="79">
        <f t="shared" ref="L125" si="32">G125/7.5345</f>
        <v>9128.9999336385954</v>
      </c>
      <c r="M125" s="79">
        <f t="shared" si="11"/>
        <v>-209.99993363859539</v>
      </c>
      <c r="N125" s="80">
        <v>8919</v>
      </c>
      <c r="O125" s="79">
        <v>8919</v>
      </c>
      <c r="P125" s="79">
        <v>8919</v>
      </c>
    </row>
    <row r="126" spans="1:16" ht="15.75" x14ac:dyDescent="0.25">
      <c r="A126" s="144">
        <v>32</v>
      </c>
      <c r="B126" s="145"/>
      <c r="C126" s="146"/>
      <c r="D126" s="85" t="s">
        <v>30</v>
      </c>
      <c r="E126" s="78">
        <v>0</v>
      </c>
      <c r="F126" s="78">
        <v>0</v>
      </c>
      <c r="G126" s="78">
        <v>68782.45</v>
      </c>
      <c r="H126" s="78">
        <v>68782.45</v>
      </c>
      <c r="I126" s="78">
        <v>68782.45</v>
      </c>
      <c r="J126" s="79">
        <f t="shared" si="27"/>
        <v>0</v>
      </c>
      <c r="K126" s="79">
        <f t="shared" si="28"/>
        <v>0</v>
      </c>
      <c r="L126" s="79">
        <v>0</v>
      </c>
      <c r="M126" s="79">
        <f t="shared" si="11"/>
        <v>210</v>
      </c>
      <c r="N126" s="80">
        <v>210</v>
      </c>
      <c r="O126" s="79">
        <v>210</v>
      </c>
      <c r="P126" s="79">
        <v>210</v>
      </c>
    </row>
    <row r="127" spans="1:16" x14ac:dyDescent="0.25">
      <c r="A127" s="68"/>
      <c r="B127" s="68"/>
      <c r="C127" s="68"/>
      <c r="D127" s="69"/>
      <c r="E127" s="70"/>
      <c r="F127" s="70"/>
      <c r="G127" s="70"/>
      <c r="H127" s="70"/>
      <c r="I127" s="70"/>
      <c r="J127" s="71"/>
      <c r="K127" s="71"/>
      <c r="L127" s="71"/>
      <c r="M127" s="71"/>
      <c r="N127" s="72"/>
      <c r="O127" s="71"/>
      <c r="P127" s="71"/>
    </row>
    <row r="128" spans="1:16" ht="15.75" x14ac:dyDescent="0.25">
      <c r="C128" s="186"/>
      <c r="D128" s="187" t="s">
        <v>180</v>
      </c>
      <c r="E128" s="188"/>
      <c r="F128" s="188"/>
      <c r="G128" s="98"/>
      <c r="H128" s="98"/>
      <c r="I128" s="98"/>
      <c r="J128" s="189" t="s">
        <v>183</v>
      </c>
      <c r="K128" s="189" t="s">
        <v>155</v>
      </c>
      <c r="L128" s="189" t="s">
        <v>184</v>
      </c>
      <c r="M128" s="189" t="s">
        <v>181</v>
      </c>
      <c r="N128" s="189" t="s">
        <v>182</v>
      </c>
    </row>
    <row r="129" spans="1:15" ht="30" x14ac:dyDescent="0.25">
      <c r="C129" s="98" t="s">
        <v>167</v>
      </c>
      <c r="D129" s="190" t="s">
        <v>76</v>
      </c>
      <c r="E129" s="191"/>
      <c r="F129" s="188"/>
      <c r="G129" s="98"/>
      <c r="H129" s="98"/>
      <c r="I129" s="98"/>
      <c r="J129" s="192">
        <v>27041</v>
      </c>
      <c r="K129" s="193">
        <f>L129-J129</f>
        <v>8299.1699999999983</v>
      </c>
      <c r="L129" s="193">
        <v>35340.17</v>
      </c>
      <c r="M129" s="192">
        <v>35340.17</v>
      </c>
      <c r="N129" s="98">
        <v>35340.17</v>
      </c>
    </row>
    <row r="130" spans="1:15" ht="15" customHeight="1" x14ac:dyDescent="0.25">
      <c r="C130" s="98" t="s">
        <v>168</v>
      </c>
      <c r="D130" s="190" t="s">
        <v>169</v>
      </c>
      <c r="E130" s="191"/>
      <c r="F130" s="188"/>
      <c r="G130" s="98"/>
      <c r="H130" s="98"/>
      <c r="I130" s="98"/>
      <c r="J130" s="192">
        <v>25005.64</v>
      </c>
      <c r="K130" s="193">
        <v>-1388.28</v>
      </c>
      <c r="L130" s="193">
        <v>23617.360000000001</v>
      </c>
      <c r="M130" s="192">
        <v>23617.360000000001</v>
      </c>
      <c r="N130" s="98">
        <v>23617.360000000001</v>
      </c>
    </row>
    <row r="131" spans="1:15" ht="15" customHeight="1" x14ac:dyDescent="0.25">
      <c r="C131" s="98" t="s">
        <v>170</v>
      </c>
      <c r="D131" s="194" t="s">
        <v>171</v>
      </c>
      <c r="E131" s="195"/>
      <c r="F131" s="188"/>
      <c r="G131" s="98"/>
      <c r="H131" s="98"/>
      <c r="I131" s="98"/>
      <c r="J131" s="192">
        <v>18793.55</v>
      </c>
      <c r="K131" s="193">
        <v>4211.1899999999996</v>
      </c>
      <c r="L131" s="193">
        <v>23004.74</v>
      </c>
      <c r="M131" s="192">
        <v>14160</v>
      </c>
      <c r="N131" s="98">
        <v>14160</v>
      </c>
    </row>
    <row r="132" spans="1:15" ht="15.75" x14ac:dyDescent="0.25">
      <c r="C132" s="98" t="s">
        <v>172</v>
      </c>
      <c r="D132" s="194" t="s">
        <v>173</v>
      </c>
      <c r="E132" s="195"/>
      <c r="F132" s="188"/>
      <c r="G132" s="98"/>
      <c r="H132" s="98"/>
      <c r="I132" s="98"/>
      <c r="J132" s="192">
        <v>95490</v>
      </c>
      <c r="K132" s="193">
        <v>4739.97</v>
      </c>
      <c r="L132" s="193">
        <v>100229.97</v>
      </c>
      <c r="M132" s="192">
        <v>98445.57</v>
      </c>
      <c r="N132" s="98">
        <v>98445.57</v>
      </c>
    </row>
    <row r="133" spans="1:15" ht="15.75" x14ac:dyDescent="0.25">
      <c r="C133" s="98" t="s">
        <v>174</v>
      </c>
      <c r="D133" s="194" t="s">
        <v>175</v>
      </c>
      <c r="E133" s="195"/>
      <c r="F133" s="188"/>
      <c r="G133" s="98"/>
      <c r="H133" s="98"/>
      <c r="I133" s="98"/>
      <c r="J133" s="192">
        <v>16428.759999999998</v>
      </c>
      <c r="K133" s="193">
        <v>1250.43</v>
      </c>
      <c r="L133" s="193">
        <v>17679.189999999999</v>
      </c>
      <c r="M133" s="192">
        <v>9129</v>
      </c>
      <c r="N133" s="98">
        <v>9129</v>
      </c>
    </row>
    <row r="134" spans="1:15" ht="15" customHeight="1" x14ac:dyDescent="0.25">
      <c r="C134" s="98" t="s">
        <v>176</v>
      </c>
      <c r="D134" s="194" t="s">
        <v>177</v>
      </c>
      <c r="E134" s="195"/>
      <c r="F134" s="188"/>
      <c r="G134" s="98"/>
      <c r="H134" s="98"/>
      <c r="I134" s="98"/>
      <c r="J134" s="192">
        <v>828774.3</v>
      </c>
      <c r="K134" s="193">
        <v>501504.85</v>
      </c>
      <c r="L134" s="193">
        <v>1330279.1499999999</v>
      </c>
      <c r="M134" s="192">
        <v>1325546.8799999999</v>
      </c>
      <c r="N134" s="98">
        <v>1325546.8799999999</v>
      </c>
    </row>
    <row r="135" spans="1:15" ht="15.75" x14ac:dyDescent="0.25">
      <c r="C135" s="98" t="s">
        <v>178</v>
      </c>
      <c r="D135" s="194" t="s">
        <v>179</v>
      </c>
      <c r="E135" s="195"/>
      <c r="F135" s="188"/>
      <c r="G135" s="98"/>
      <c r="H135" s="98"/>
      <c r="I135" s="98"/>
      <c r="J135" s="192">
        <v>0</v>
      </c>
      <c r="K135" s="193">
        <v>1006</v>
      </c>
      <c r="L135" s="193">
        <v>1006</v>
      </c>
      <c r="M135" s="192">
        <v>0</v>
      </c>
      <c r="N135" s="98">
        <v>0</v>
      </c>
    </row>
    <row r="136" spans="1:15" ht="15.75" x14ac:dyDescent="0.25">
      <c r="C136" s="186"/>
      <c r="D136" s="196" t="s">
        <v>83</v>
      </c>
      <c r="E136" s="188"/>
      <c r="F136" s="188"/>
      <c r="G136" s="98"/>
      <c r="H136" s="98"/>
      <c r="I136" s="98"/>
      <c r="J136" s="197">
        <f>SUM(J129:J135)</f>
        <v>1011533.25</v>
      </c>
      <c r="K136" s="193">
        <v>519203.33</v>
      </c>
      <c r="L136" s="193">
        <v>1531156.58</v>
      </c>
      <c r="M136" s="197">
        <v>1506238.98</v>
      </c>
      <c r="N136" s="98">
        <v>1506238.98</v>
      </c>
    </row>
    <row r="138" spans="1:15" ht="15" customHeight="1" x14ac:dyDescent="0.25">
      <c r="A138" s="112" t="s">
        <v>90</v>
      </c>
      <c r="B138" s="112"/>
      <c r="C138" s="112"/>
      <c r="E138"/>
      <c r="F138"/>
      <c r="H138" s="44" t="s">
        <v>98</v>
      </c>
      <c r="O138" s="44" t="s">
        <v>98</v>
      </c>
    </row>
    <row r="139" spans="1:15" ht="15" customHeight="1" x14ac:dyDescent="0.25">
      <c r="A139" s="42" t="s">
        <v>91</v>
      </c>
      <c r="B139" s="43"/>
      <c r="C139" s="43"/>
      <c r="E139"/>
      <c r="F139"/>
      <c r="H139" s="54" t="s">
        <v>130</v>
      </c>
      <c r="O139" s="54" t="s">
        <v>185</v>
      </c>
    </row>
    <row r="140" spans="1:15" ht="15" customHeight="1" x14ac:dyDescent="0.25">
      <c r="A140" s="112" t="s">
        <v>158</v>
      </c>
      <c r="B140" s="112"/>
      <c r="C140" s="112"/>
      <c r="E140"/>
      <c r="F140"/>
    </row>
  </sheetData>
  <mergeCells count="121">
    <mergeCell ref="A6:D6"/>
    <mergeCell ref="A5:C5"/>
    <mergeCell ref="A25:C25"/>
    <mergeCell ref="A14:C14"/>
    <mergeCell ref="A15:C15"/>
    <mergeCell ref="A16:C16"/>
    <mergeCell ref="A17:C17"/>
    <mergeCell ref="A18:C18"/>
    <mergeCell ref="A20:C20"/>
    <mergeCell ref="A19:C19"/>
    <mergeCell ref="A21:C21"/>
    <mergeCell ref="A22:C22"/>
    <mergeCell ref="A23:C23"/>
    <mergeCell ref="A9:C9"/>
    <mergeCell ref="A10:C10"/>
    <mergeCell ref="A12:C12"/>
    <mergeCell ref="A11:C11"/>
    <mergeCell ref="A13:C13"/>
    <mergeCell ref="A140:C140"/>
    <mergeCell ref="A118:C118"/>
    <mergeCell ref="A119:C119"/>
    <mergeCell ref="A120:C120"/>
    <mergeCell ref="A121:C121"/>
    <mergeCell ref="A122:C122"/>
    <mergeCell ref="A123:C123"/>
    <mergeCell ref="A124:C124"/>
    <mergeCell ref="A126:C126"/>
    <mergeCell ref="A109:C109"/>
    <mergeCell ref="A110:C110"/>
    <mergeCell ref="A105:C105"/>
    <mergeCell ref="A108:C108"/>
    <mergeCell ref="A89:C89"/>
    <mergeCell ref="A31:C31"/>
    <mergeCell ref="A30:C30"/>
    <mergeCell ref="A29:C29"/>
    <mergeCell ref="A138:C138"/>
    <mergeCell ref="A40:C40"/>
    <mergeCell ref="A41:C41"/>
    <mergeCell ref="A34:C34"/>
    <mergeCell ref="A33:C33"/>
    <mergeCell ref="A37:C37"/>
    <mergeCell ref="A38:C38"/>
    <mergeCell ref="A39:C39"/>
    <mergeCell ref="A42:C42"/>
    <mergeCell ref="A43:C43"/>
    <mergeCell ref="A111:C111"/>
    <mergeCell ref="A112:C112"/>
    <mergeCell ref="A97:C97"/>
    <mergeCell ref="A98:C98"/>
    <mergeCell ref="A99:C99"/>
    <mergeCell ref="A100:C100"/>
    <mergeCell ref="A47:C47"/>
    <mergeCell ref="A48:C48"/>
    <mergeCell ref="A102:C102"/>
    <mergeCell ref="A77:C77"/>
    <mergeCell ref="A78:C78"/>
    <mergeCell ref="A74:C74"/>
    <mergeCell ref="A75:C75"/>
    <mergeCell ref="A76:C76"/>
    <mergeCell ref="A101:C101"/>
    <mergeCell ref="A80:C80"/>
    <mergeCell ref="A81:C81"/>
    <mergeCell ref="A82:C82"/>
    <mergeCell ref="A91:C91"/>
    <mergeCell ref="A114:C114"/>
    <mergeCell ref="A107:C107"/>
    <mergeCell ref="A103:C103"/>
    <mergeCell ref="A104:C104"/>
    <mergeCell ref="A68:C68"/>
    <mergeCell ref="A69:C69"/>
    <mergeCell ref="A106:C106"/>
    <mergeCell ref="A49:C49"/>
    <mergeCell ref="A92:C92"/>
    <mergeCell ref="A93:C93"/>
    <mergeCell ref="A94:C94"/>
    <mergeCell ref="A95:C95"/>
    <mergeCell ref="A96:C96"/>
    <mergeCell ref="A83:C83"/>
    <mergeCell ref="A84:C84"/>
    <mergeCell ref="A85:C85"/>
    <mergeCell ref="A90:C90"/>
    <mergeCell ref="A71:C71"/>
    <mergeCell ref="A72:C72"/>
    <mergeCell ref="A73:C73"/>
    <mergeCell ref="A66:C66"/>
    <mergeCell ref="A63:C63"/>
    <mergeCell ref="A64:C64"/>
    <mergeCell ref="A113:C113"/>
    <mergeCell ref="A3:P3"/>
    <mergeCell ref="A2:C2"/>
    <mergeCell ref="A26:C26"/>
    <mergeCell ref="A27:C27"/>
    <mergeCell ref="A28:C28"/>
    <mergeCell ref="A1:P1"/>
    <mergeCell ref="A86:C86"/>
    <mergeCell ref="A87:C87"/>
    <mergeCell ref="A88:C88"/>
    <mergeCell ref="A44:C44"/>
    <mergeCell ref="A57:C57"/>
    <mergeCell ref="A58:C58"/>
    <mergeCell ref="A60:C60"/>
    <mergeCell ref="A62:C62"/>
    <mergeCell ref="A56:C56"/>
    <mergeCell ref="A53:C53"/>
    <mergeCell ref="A54:C54"/>
    <mergeCell ref="A46:C46"/>
    <mergeCell ref="A32:C32"/>
    <mergeCell ref="A51:C51"/>
    <mergeCell ref="A52:C52"/>
    <mergeCell ref="A24:C24"/>
    <mergeCell ref="A7:C7"/>
    <mergeCell ref="A8:C8"/>
    <mergeCell ref="D131:E131"/>
    <mergeCell ref="D132:E132"/>
    <mergeCell ref="D133:E133"/>
    <mergeCell ref="D134:E134"/>
    <mergeCell ref="D135:E135"/>
    <mergeCell ref="A115:C115"/>
    <mergeCell ref="A116:C116"/>
    <mergeCell ref="A117:C117"/>
    <mergeCell ref="A125:C125"/>
  </mergeCells>
  <pageMargins left="0.70866141732283472" right="0.31496062992125984" top="0.35433070866141736" bottom="0.35433070866141736" header="0.31496062992125984" footer="0.31496062992125984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SAŽETAK-EUR</vt:lpstr>
      <vt:lpstr> Račun prihoda i rashoda</vt:lpstr>
      <vt:lpstr>Rashodi prema funkcijskoj kl</vt:lpstr>
      <vt:lpstr>Račun financiranja</vt:lpstr>
      <vt:lpstr>POSEBNI DIO 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2023-07-11T11:03:29Z</cp:lastPrinted>
  <dcterms:created xsi:type="dcterms:W3CDTF">2022-08-12T12:51:27Z</dcterms:created>
  <dcterms:modified xsi:type="dcterms:W3CDTF">2023-07-11T11:12:12Z</dcterms:modified>
</cp:coreProperties>
</file>